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xcel\Max Fish\Budgets\2021\"/>
    </mc:Choice>
  </mc:AlternateContent>
  <xr:revisionPtr revIDLastSave="0" documentId="13_ncr:1_{41E46D16-1384-4D26-9385-53A38A77D418}" xr6:coauthVersionLast="46" xr6:coauthVersionMax="46" xr10:uidLastSave="{00000000-0000-0000-0000-000000000000}"/>
  <bookViews>
    <workbookView xWindow="135" yWindow="390" windowWidth="19065" windowHeight="14805" tabRatio="791" firstSheet="5" activeTab="6" xr2:uid="{00000000-000D-0000-FFFF-FFFF00000000}"/>
  </bookViews>
  <sheets>
    <sheet name="Sales History &amp; Forecast" sheetId="15" r:id="rId1"/>
    <sheet name="Entry Sheet " sheetId="22" r:id="rId2"/>
    <sheet name="P&amp;L" sheetId="17" r:id="rId3"/>
    <sheet name="W1 Forecast" sheetId="4" r:id="rId4"/>
    <sheet name="W1 Cost &amp; Sales" sheetId="1" r:id="rId5"/>
    <sheet name="W2 Forecast" sheetId="5" r:id="rId6"/>
    <sheet name="W2 Cost &amp; Sales" sheetId="6" r:id="rId7"/>
    <sheet name="W2 P&amp;L" sheetId="18" state="hidden" r:id="rId8"/>
    <sheet name="W3 Forecast" sheetId="7" r:id="rId9"/>
    <sheet name="W3 Cost &amp; Sales " sheetId="8" r:id="rId10"/>
    <sheet name="W3 P&amp;L" sheetId="19" state="hidden" r:id="rId11"/>
    <sheet name="W4 Forecast " sheetId="9" r:id="rId12"/>
    <sheet name="W4 Cost &amp; Sales" sheetId="10" r:id="rId13"/>
    <sheet name="W4 P&amp;L" sheetId="20" state="hidden" r:id="rId14"/>
    <sheet name="Period Summary" sheetId="13" r:id="rId15"/>
    <sheet name="Period 8 Cash" sheetId="16" state="hidden" r:id="rId16"/>
    <sheet name="Sales Worksheet" sheetId="14" state="hidden" r:id="rId17"/>
    <sheet name="P&amp;L Summary" sheetId="21" state="hidden" r:id="rId18"/>
  </sheets>
  <externalReferences>
    <externalReference r:id="rId19"/>
    <externalReference r:id="rId20"/>
    <externalReference r:id="rId21"/>
  </externalReferences>
  <definedNames>
    <definedName name="_xlnm.Print_Area" localSheetId="15">'Period 8 Cash'!$A$1:$N$62</definedName>
    <definedName name="_xlnm.Print_Area" localSheetId="14">'Period Summary'!$A$1:$Q$47</definedName>
    <definedName name="_xlnm.Print_Area" localSheetId="16">'Sales Worksheet'!$A$1:$I$39</definedName>
    <definedName name="_xlnm.Print_Area" localSheetId="4">'W1 Cost &amp; Sales'!$A$1:$Q$76</definedName>
    <definedName name="_xlnm.Print_Area" localSheetId="6">'W2 Cost &amp; Sales'!$A$1:$Q$76</definedName>
    <definedName name="_xlnm.Print_Area" localSheetId="9">'W3 Cost &amp; Sales '!$A$1:$Q$53</definedName>
    <definedName name="_xlnm.Print_Area" localSheetId="12">'W4 Cost &amp; Sales'!$A$1:$Q$55</definedName>
  </definedNames>
  <calcPr calcId="181029"/>
</workbook>
</file>

<file path=xl/calcChain.xml><?xml version="1.0" encoding="utf-8"?>
<calcChain xmlns="http://schemas.openxmlformats.org/spreadsheetml/2006/main">
  <c r="O20" i="8" l="1"/>
  <c r="O20" i="10"/>
  <c r="O20" i="6"/>
  <c r="O20" i="1"/>
  <c r="C37" i="6"/>
  <c r="F109" i="22"/>
  <c r="F106" i="22"/>
  <c r="F105" i="22"/>
  <c r="F103" i="22"/>
  <c r="F83" i="22"/>
  <c r="F82" i="22"/>
  <c r="F79" i="22"/>
  <c r="F78" i="22"/>
  <c r="F63" i="22"/>
  <c r="F62" i="22"/>
  <c r="F24" i="22"/>
  <c r="F18" i="22"/>
  <c r="C32" i="8"/>
  <c r="C30" i="8"/>
  <c r="C34" i="8" s="1"/>
  <c r="D34" i="8" s="1"/>
  <c r="C34" i="10"/>
  <c r="D34" i="10" s="1"/>
  <c r="C32" i="10"/>
  <c r="C30" i="10"/>
  <c r="C37" i="8"/>
  <c r="D37" i="8" s="1"/>
  <c r="D36" i="8"/>
  <c r="D35" i="8"/>
  <c r="D33" i="8"/>
  <c r="D32" i="8"/>
  <c r="D31" i="8"/>
  <c r="D30" i="8"/>
  <c r="D37" i="10"/>
  <c r="C37" i="10"/>
  <c r="D36" i="10"/>
  <c r="D35" i="10"/>
  <c r="D33" i="10"/>
  <c r="D32" i="10"/>
  <c r="D31" i="10"/>
  <c r="D30" i="10"/>
  <c r="E129" i="22" l="1"/>
  <c r="B21" i="1"/>
  <c r="B20" i="1"/>
  <c r="B19" i="1"/>
  <c r="B15" i="1"/>
  <c r="B14" i="1"/>
  <c r="B13" i="1"/>
  <c r="B12" i="1"/>
  <c r="C37" i="1"/>
  <c r="D37" i="1" s="1"/>
  <c r="D36" i="1"/>
  <c r="D35" i="1"/>
  <c r="D34" i="1"/>
  <c r="D33" i="1"/>
  <c r="D32" i="1"/>
  <c r="D31" i="1"/>
  <c r="D30" i="1"/>
  <c r="E109" i="22" l="1"/>
  <c r="E106" i="22"/>
  <c r="E105" i="22"/>
  <c r="E103" i="22"/>
  <c r="E83" i="22"/>
  <c r="E82" i="22"/>
  <c r="E63" i="22"/>
  <c r="E62" i="22"/>
  <c r="E18" i="22"/>
  <c r="F9" i="9"/>
  <c r="G9" i="9"/>
  <c r="H9" i="9"/>
  <c r="F10" i="9"/>
  <c r="G10" i="9"/>
  <c r="H10" i="9"/>
  <c r="F11" i="9"/>
  <c r="G11" i="9"/>
  <c r="H11" i="9"/>
  <c r="F12" i="9"/>
  <c r="G12" i="9"/>
  <c r="H12" i="9"/>
  <c r="F13" i="9"/>
  <c r="G13" i="9"/>
  <c r="H13" i="9"/>
  <c r="F14" i="9"/>
  <c r="G14" i="9"/>
  <c r="H14" i="9"/>
  <c r="G8" i="9"/>
  <c r="H8" i="9"/>
  <c r="F8" i="9"/>
  <c r="F9" i="7"/>
  <c r="G9" i="7"/>
  <c r="H9" i="7"/>
  <c r="F10" i="7"/>
  <c r="G10" i="7"/>
  <c r="H10" i="7"/>
  <c r="F11" i="7"/>
  <c r="G11" i="7"/>
  <c r="H11" i="7"/>
  <c r="F12" i="7"/>
  <c r="G12" i="7"/>
  <c r="H12" i="7"/>
  <c r="F13" i="7"/>
  <c r="G13" i="7"/>
  <c r="H13" i="7"/>
  <c r="F14" i="7"/>
  <c r="G14" i="7"/>
  <c r="H14" i="7"/>
  <c r="G8" i="7"/>
  <c r="H8" i="7"/>
  <c r="F8" i="7"/>
  <c r="F9" i="5"/>
  <c r="G9" i="5"/>
  <c r="H9" i="5"/>
  <c r="F10" i="5"/>
  <c r="G10" i="5"/>
  <c r="H10" i="5"/>
  <c r="F11" i="5"/>
  <c r="G11" i="5"/>
  <c r="H11" i="5"/>
  <c r="F12" i="5"/>
  <c r="G12" i="5"/>
  <c r="H12" i="5"/>
  <c r="F13" i="5"/>
  <c r="G13" i="5"/>
  <c r="H13" i="5"/>
  <c r="F14" i="5"/>
  <c r="G14" i="5"/>
  <c r="H14" i="5"/>
  <c r="G8" i="5"/>
  <c r="H8" i="5"/>
  <c r="F8" i="5"/>
  <c r="B25" i="1"/>
  <c r="B24" i="1"/>
  <c r="B23" i="1"/>
  <c r="B22" i="1"/>
  <c r="F9" i="4"/>
  <c r="G9" i="4"/>
  <c r="H9" i="4"/>
  <c r="F10" i="4"/>
  <c r="G10" i="4"/>
  <c r="H10" i="4"/>
  <c r="F11" i="4"/>
  <c r="G11" i="4"/>
  <c r="H11" i="4"/>
  <c r="F12" i="4"/>
  <c r="G12" i="4"/>
  <c r="H12" i="4"/>
  <c r="F13" i="4"/>
  <c r="G13" i="4"/>
  <c r="H13" i="4"/>
  <c r="F14" i="4"/>
  <c r="G14" i="4"/>
  <c r="H14" i="4"/>
  <c r="G8" i="4"/>
  <c r="H8" i="4"/>
  <c r="F8" i="4"/>
  <c r="J8" i="4"/>
  <c r="F19" i="4"/>
  <c r="AC387" i="15"/>
  <c r="AC379" i="15"/>
  <c r="AC371" i="15"/>
  <c r="AC363" i="15"/>
  <c r="AC355" i="15"/>
  <c r="AC347" i="15"/>
  <c r="AC339" i="15"/>
  <c r="AC331" i="15"/>
  <c r="AC323" i="15"/>
  <c r="AC315" i="15"/>
  <c r="AC307" i="15"/>
  <c r="AC299" i="15"/>
  <c r="AC291" i="15"/>
  <c r="AC283" i="15"/>
  <c r="AC275" i="15"/>
  <c r="AC267" i="15"/>
  <c r="AC259" i="15"/>
  <c r="AC251" i="15"/>
  <c r="AC243" i="15"/>
  <c r="AC235" i="15"/>
  <c r="AC227" i="15"/>
  <c r="AC219" i="15"/>
  <c r="AC211" i="15"/>
  <c r="AC203" i="15"/>
  <c r="AC195" i="15"/>
  <c r="AC187" i="15"/>
  <c r="AC179" i="15"/>
  <c r="AC171" i="15"/>
  <c r="AC163" i="15"/>
  <c r="AC155" i="15"/>
  <c r="AC147" i="15"/>
  <c r="AC139" i="15"/>
  <c r="AC131" i="15"/>
  <c r="AC123" i="15"/>
  <c r="AC115" i="15"/>
  <c r="AC107" i="15"/>
  <c r="AC99" i="15"/>
  <c r="AC91" i="15"/>
  <c r="AC83" i="15"/>
  <c r="AC75" i="15"/>
  <c r="AC67" i="15"/>
  <c r="AC59" i="15"/>
  <c r="AC51" i="15"/>
  <c r="AC43" i="15"/>
  <c r="AC35" i="15"/>
  <c r="AC27" i="15"/>
  <c r="AC19" i="15"/>
  <c r="AC11" i="15"/>
  <c r="AB6" i="15"/>
  <c r="AB7" i="15" s="1"/>
  <c r="AB8" i="15" s="1"/>
  <c r="AB9" i="15" s="1"/>
  <c r="AB10" i="15" s="1"/>
  <c r="AB12" i="15" s="1"/>
  <c r="AB13" i="15" s="1"/>
  <c r="AB14" i="15" s="1"/>
  <c r="AB15" i="15" s="1"/>
  <c r="AB16" i="15" s="1"/>
  <c r="AB17" i="15" s="1"/>
  <c r="AB18" i="15" s="1"/>
  <c r="AB20" i="15" s="1"/>
  <c r="AB21" i="15" s="1"/>
  <c r="AB22" i="15" s="1"/>
  <c r="AB23" i="15" s="1"/>
  <c r="AB24" i="15" s="1"/>
  <c r="AB25" i="15" s="1"/>
  <c r="AB26" i="15" s="1"/>
  <c r="AB28" i="15" s="1"/>
  <c r="AB29" i="15" s="1"/>
  <c r="AB30" i="15" s="1"/>
  <c r="AB31" i="15" s="1"/>
  <c r="AB32" i="15" s="1"/>
  <c r="AB33" i="15" s="1"/>
  <c r="AB34" i="15" s="1"/>
  <c r="AB36" i="15" s="1"/>
  <c r="AB37" i="15" s="1"/>
  <c r="AB38" i="15" s="1"/>
  <c r="AB39" i="15" s="1"/>
  <c r="AB40" i="15" s="1"/>
  <c r="AB41" i="15" s="1"/>
  <c r="AB42" i="15" s="1"/>
  <c r="AB44" i="15" s="1"/>
  <c r="AB45" i="15" s="1"/>
  <c r="AB46" i="15" s="1"/>
  <c r="AB47" i="15" s="1"/>
  <c r="AB48" i="15" s="1"/>
  <c r="AB49" i="15" s="1"/>
  <c r="AB50" i="15" s="1"/>
  <c r="AB52" i="15" s="1"/>
  <c r="AB53" i="15" s="1"/>
  <c r="AB54" i="15" s="1"/>
  <c r="AB55" i="15" s="1"/>
  <c r="AB56" i="15" s="1"/>
  <c r="AB57" i="15" s="1"/>
  <c r="AB58" i="15" s="1"/>
  <c r="AB60" i="15" s="1"/>
  <c r="AB61" i="15" s="1"/>
  <c r="AB62" i="15" s="1"/>
  <c r="AB63" i="15" s="1"/>
  <c r="AB64" i="15" s="1"/>
  <c r="AB65" i="15" s="1"/>
  <c r="AB66" i="15" s="1"/>
  <c r="AB68" i="15" s="1"/>
  <c r="AB69" i="15" s="1"/>
  <c r="AB70" i="15" s="1"/>
  <c r="AB71" i="15" s="1"/>
  <c r="AB72" i="15" s="1"/>
  <c r="AB73" i="15" s="1"/>
  <c r="AB74" i="15" s="1"/>
  <c r="AB76" i="15" s="1"/>
  <c r="AB77" i="15" s="1"/>
  <c r="AB78" i="15" s="1"/>
  <c r="AB79" i="15" s="1"/>
  <c r="AB80" i="15" s="1"/>
  <c r="AB81" i="15" s="1"/>
  <c r="AB82" i="15" s="1"/>
  <c r="AB84" i="15" s="1"/>
  <c r="AB85" i="15" s="1"/>
  <c r="AB86" i="15" s="1"/>
  <c r="AB87" i="15" s="1"/>
  <c r="AB88" i="15" s="1"/>
  <c r="AB89" i="15" s="1"/>
  <c r="AB90" i="15" s="1"/>
  <c r="AB92" i="15" s="1"/>
  <c r="AB93" i="15" s="1"/>
  <c r="AB94" i="15" s="1"/>
  <c r="AB95" i="15" s="1"/>
  <c r="AB96" i="15" s="1"/>
  <c r="AB97" i="15" s="1"/>
  <c r="AB98" i="15" s="1"/>
  <c r="AB100" i="15" s="1"/>
  <c r="AB101" i="15" s="1"/>
  <c r="AB102" i="15" s="1"/>
  <c r="AB103" i="15" s="1"/>
  <c r="AB104" i="15" s="1"/>
  <c r="AB105" i="15" s="1"/>
  <c r="AB106" i="15" s="1"/>
  <c r="AB108" i="15" s="1"/>
  <c r="AB109" i="15" s="1"/>
  <c r="AB110" i="15" s="1"/>
  <c r="AB111" i="15" s="1"/>
  <c r="AB112" i="15" s="1"/>
  <c r="AB113" i="15" s="1"/>
  <c r="AB114" i="15" s="1"/>
  <c r="AB116" i="15" s="1"/>
  <c r="AB117" i="15" s="1"/>
  <c r="AB118" i="15" s="1"/>
  <c r="AB119" i="15" s="1"/>
  <c r="AB120" i="15" s="1"/>
  <c r="AB121" i="15" s="1"/>
  <c r="AB122" i="15" s="1"/>
  <c r="AB124" i="15" s="1"/>
  <c r="AB125" i="15" s="1"/>
  <c r="AB126" i="15" s="1"/>
  <c r="AB127" i="15" s="1"/>
  <c r="AB128" i="15" s="1"/>
  <c r="AB129" i="15" s="1"/>
  <c r="AB130" i="15" s="1"/>
  <c r="AB132" i="15" s="1"/>
  <c r="AB133" i="15" s="1"/>
  <c r="AB134" i="15" s="1"/>
  <c r="AB135" i="15" s="1"/>
  <c r="AB136" i="15" s="1"/>
  <c r="AB137" i="15" s="1"/>
  <c r="AB138" i="15" s="1"/>
  <c r="AB140" i="15" s="1"/>
  <c r="AB141" i="15" s="1"/>
  <c r="AB142" i="15" s="1"/>
  <c r="AB143" i="15" s="1"/>
  <c r="AB144" i="15" s="1"/>
  <c r="AB145" i="15" s="1"/>
  <c r="AB146" i="15" s="1"/>
  <c r="AB148" i="15" s="1"/>
  <c r="AB149" i="15" s="1"/>
  <c r="AB150" i="15" s="1"/>
  <c r="AB151" i="15" s="1"/>
  <c r="AB152" i="15" s="1"/>
  <c r="AB153" i="15" s="1"/>
  <c r="AB154" i="15" s="1"/>
  <c r="AB156" i="15" s="1"/>
  <c r="AB157" i="15" s="1"/>
  <c r="AB158" i="15" s="1"/>
  <c r="AB159" i="15" s="1"/>
  <c r="AB160" i="15" s="1"/>
  <c r="AB161" i="15" s="1"/>
  <c r="AB162" i="15" s="1"/>
  <c r="AB164" i="15" s="1"/>
  <c r="AB165" i="15" s="1"/>
  <c r="AB166" i="15" s="1"/>
  <c r="AB167" i="15" s="1"/>
  <c r="AB168" i="15" s="1"/>
  <c r="AB169" i="15" s="1"/>
  <c r="AB170" i="15" s="1"/>
  <c r="AB172" i="15" s="1"/>
  <c r="AB173" i="15" s="1"/>
  <c r="AB174" i="15" s="1"/>
  <c r="AB175" i="15" s="1"/>
  <c r="AB176" i="15" s="1"/>
  <c r="AB177" i="15" s="1"/>
  <c r="AB178" i="15" s="1"/>
  <c r="AB180" i="15" s="1"/>
  <c r="AB181" i="15" s="1"/>
  <c r="AB182" i="15" s="1"/>
  <c r="AB183" i="15" s="1"/>
  <c r="AB184" i="15" s="1"/>
  <c r="AB185" i="15" s="1"/>
  <c r="AB186" i="15" s="1"/>
  <c r="AB188" i="15" s="1"/>
  <c r="AB189" i="15" s="1"/>
  <c r="AB190" i="15" s="1"/>
  <c r="AB191" i="15" s="1"/>
  <c r="AB192" i="15" s="1"/>
  <c r="AB193" i="15" s="1"/>
  <c r="AB194" i="15" s="1"/>
  <c r="AB196" i="15" s="1"/>
  <c r="AB197" i="15" s="1"/>
  <c r="AB198" i="15" s="1"/>
  <c r="AB199" i="15" s="1"/>
  <c r="AB200" i="15" s="1"/>
  <c r="AB201" i="15" s="1"/>
  <c r="AB202" i="15" s="1"/>
  <c r="AB204" i="15" s="1"/>
  <c r="AB205" i="15" s="1"/>
  <c r="AB206" i="15" s="1"/>
  <c r="AB207" i="15" s="1"/>
  <c r="AB208" i="15" s="1"/>
  <c r="AB209" i="15" s="1"/>
  <c r="AB210" i="15" s="1"/>
  <c r="AB212" i="15" s="1"/>
  <c r="AB213" i="15" s="1"/>
  <c r="AB214" i="15" s="1"/>
  <c r="AB215" i="15" s="1"/>
  <c r="AB216" i="15" s="1"/>
  <c r="AB217" i="15" s="1"/>
  <c r="AB218" i="15" s="1"/>
  <c r="AB220" i="15" s="1"/>
  <c r="AB221" i="15" s="1"/>
  <c r="AB222" i="15" s="1"/>
  <c r="AB223" i="15" s="1"/>
  <c r="AB224" i="15" s="1"/>
  <c r="AB225" i="15" s="1"/>
  <c r="AB226" i="15" s="1"/>
  <c r="AB228" i="15" s="1"/>
  <c r="AB229" i="15" s="1"/>
  <c r="AB230" i="15" s="1"/>
  <c r="AB231" i="15" s="1"/>
  <c r="AB232" i="15" s="1"/>
  <c r="AB233" i="15" s="1"/>
  <c r="AB234" i="15" s="1"/>
  <c r="AB236" i="15" s="1"/>
  <c r="AB237" i="15" s="1"/>
  <c r="AB238" i="15" s="1"/>
  <c r="AB239" i="15" s="1"/>
  <c r="AB240" i="15" s="1"/>
  <c r="AB241" i="15" s="1"/>
  <c r="AB242" i="15" s="1"/>
  <c r="AB244" i="15" s="1"/>
  <c r="AB245" i="15" s="1"/>
  <c r="AB246" i="15" s="1"/>
  <c r="AB247" i="15" s="1"/>
  <c r="AB248" i="15" s="1"/>
  <c r="AB249" i="15" s="1"/>
  <c r="AB250" i="15" s="1"/>
  <c r="AB252" i="15" s="1"/>
  <c r="AB253" i="15" s="1"/>
  <c r="AB254" i="15" s="1"/>
  <c r="AB255" i="15" s="1"/>
  <c r="AB256" i="15" s="1"/>
  <c r="AB257" i="15" s="1"/>
  <c r="AB258" i="15" s="1"/>
  <c r="AB260" i="15" s="1"/>
  <c r="AB261" i="15" s="1"/>
  <c r="AB262" i="15" s="1"/>
  <c r="AB263" i="15" s="1"/>
  <c r="AB264" i="15" s="1"/>
  <c r="AB265" i="15" s="1"/>
  <c r="AB266" i="15" s="1"/>
  <c r="AB268" i="15" s="1"/>
  <c r="AB269" i="15" s="1"/>
  <c r="AB270" i="15" s="1"/>
  <c r="AB271" i="15" s="1"/>
  <c r="AB272" i="15" s="1"/>
  <c r="AB273" i="15" s="1"/>
  <c r="AB274" i="15" s="1"/>
  <c r="AB276" i="15" s="1"/>
  <c r="AB277" i="15" s="1"/>
  <c r="AB278" i="15" s="1"/>
  <c r="AB279" i="15" s="1"/>
  <c r="AB280" i="15" s="1"/>
  <c r="AB281" i="15" s="1"/>
  <c r="AB282" i="15" s="1"/>
  <c r="AB284" i="15" s="1"/>
  <c r="AB285" i="15" s="1"/>
  <c r="AB286" i="15" s="1"/>
  <c r="AB287" i="15" s="1"/>
  <c r="AB288" i="15" s="1"/>
  <c r="AB289" i="15" s="1"/>
  <c r="AB290" i="15" s="1"/>
  <c r="AB292" i="15" s="1"/>
  <c r="AB293" i="15" s="1"/>
  <c r="AB294" i="15" s="1"/>
  <c r="AB295" i="15" s="1"/>
  <c r="AB296" i="15" s="1"/>
  <c r="AB297" i="15" s="1"/>
  <c r="AB298" i="15" s="1"/>
  <c r="AB300" i="15" s="1"/>
  <c r="AB301" i="15" s="1"/>
  <c r="AB302" i="15" s="1"/>
  <c r="AB303" i="15" s="1"/>
  <c r="AB304" i="15" s="1"/>
  <c r="AB305" i="15" s="1"/>
  <c r="AB306" i="15" s="1"/>
  <c r="AB308" i="15" s="1"/>
  <c r="AB309" i="15" s="1"/>
  <c r="AB310" i="15" s="1"/>
  <c r="AB311" i="15" s="1"/>
  <c r="AB312" i="15" s="1"/>
  <c r="AB313" i="15" s="1"/>
  <c r="AB314" i="15" s="1"/>
  <c r="AB316" i="15" s="1"/>
  <c r="AB317" i="15" s="1"/>
  <c r="AB318" i="15" s="1"/>
  <c r="AB319" i="15" s="1"/>
  <c r="AB320" i="15" s="1"/>
  <c r="AB321" i="15" s="1"/>
  <c r="AB322" i="15" s="1"/>
  <c r="AB324" i="15" s="1"/>
  <c r="AB325" i="15" s="1"/>
  <c r="AB326" i="15" s="1"/>
  <c r="AB327" i="15" s="1"/>
  <c r="AB328" i="15" s="1"/>
  <c r="AB329" i="15" s="1"/>
  <c r="AB330" i="15" s="1"/>
  <c r="AB332" i="15" s="1"/>
  <c r="AB333" i="15" s="1"/>
  <c r="AB334" i="15" s="1"/>
  <c r="AB335" i="15" s="1"/>
  <c r="AB336" i="15" s="1"/>
  <c r="AB337" i="15" s="1"/>
  <c r="AB338" i="15" s="1"/>
  <c r="AB340" i="15" s="1"/>
  <c r="AB341" i="15" s="1"/>
  <c r="AB342" i="15" s="1"/>
  <c r="AB343" i="15" s="1"/>
  <c r="AB344" i="15" s="1"/>
  <c r="AB345" i="15" s="1"/>
  <c r="AB346" i="15" s="1"/>
  <c r="AB348" i="15" s="1"/>
  <c r="AB349" i="15" s="1"/>
  <c r="AB350" i="15" s="1"/>
  <c r="AB351" i="15" s="1"/>
  <c r="AB352" i="15" s="1"/>
  <c r="AB353" i="15" s="1"/>
  <c r="AB354" i="15" s="1"/>
  <c r="AB356" i="15" s="1"/>
  <c r="AB357" i="15" s="1"/>
  <c r="AB358" i="15" s="1"/>
  <c r="AB359" i="15" s="1"/>
  <c r="AB360" i="15" s="1"/>
  <c r="AB361" i="15" s="1"/>
  <c r="AB362" i="15" s="1"/>
  <c r="AB364" i="15" s="1"/>
  <c r="AB365" i="15" s="1"/>
  <c r="AB366" i="15" s="1"/>
  <c r="AB367" i="15" s="1"/>
  <c r="AB368" i="15" s="1"/>
  <c r="AB369" i="15" s="1"/>
  <c r="AB370" i="15" s="1"/>
  <c r="AB372" i="15" s="1"/>
  <c r="AB373" i="15" s="1"/>
  <c r="AB374" i="15" s="1"/>
  <c r="AB375" i="15" s="1"/>
  <c r="AB376" i="15" s="1"/>
  <c r="AB377" i="15" s="1"/>
  <c r="AB378" i="15" s="1"/>
  <c r="AB380" i="15" s="1"/>
  <c r="AB381" i="15" s="1"/>
  <c r="AB382" i="15" s="1"/>
  <c r="AB383" i="15" s="1"/>
  <c r="AB384" i="15" s="1"/>
  <c r="AB385" i="15" s="1"/>
  <c r="AB386" i="15" s="1"/>
  <c r="AB5" i="15"/>
  <c r="K44" i="10" l="1"/>
  <c r="J44" i="10"/>
  <c r="L44" i="10" s="1"/>
  <c r="I44" i="10"/>
  <c r="K44" i="8"/>
  <c r="L44" i="8" s="1"/>
  <c r="J44" i="8"/>
  <c r="I44" i="8"/>
  <c r="K44" i="6"/>
  <c r="J44" i="6"/>
  <c r="L44" i="6" s="1"/>
  <c r="I44" i="6"/>
  <c r="K44" i="1"/>
  <c r="J44" i="1"/>
  <c r="I44" i="1"/>
  <c r="D33" i="7"/>
  <c r="D33" i="9"/>
  <c r="D33" i="5"/>
  <c r="AA331" i="15"/>
  <c r="L44" i="1" l="1"/>
  <c r="N44" i="1" s="1"/>
  <c r="N44" i="6"/>
  <c r="K44" i="13"/>
  <c r="N44" i="10"/>
  <c r="N44" i="8"/>
  <c r="I44" i="13"/>
  <c r="J44" i="13"/>
  <c r="L44" i="13" s="1"/>
  <c r="N44" i="13" l="1"/>
  <c r="Y387" i="15" l="1"/>
  <c r="Y379" i="15"/>
  <c r="Y371" i="15"/>
  <c r="Y363" i="15"/>
  <c r="Y355" i="15"/>
  <c r="Y347" i="15"/>
  <c r="Y339" i="15"/>
  <c r="Y331" i="15"/>
  <c r="Y323" i="15"/>
  <c r="Y315" i="15"/>
  <c r="Y307" i="15"/>
  <c r="Y299" i="15"/>
  <c r="Y291" i="15"/>
  <c r="Y283" i="15"/>
  <c r="Y275" i="15"/>
  <c r="Y267" i="15"/>
  <c r="Y259" i="15"/>
  <c r="Y251" i="15"/>
  <c r="Y243" i="15"/>
  <c r="Y235" i="15"/>
  <c r="Y227" i="15"/>
  <c r="Y219" i="15"/>
  <c r="Y211" i="15"/>
  <c r="Y203" i="15"/>
  <c r="Y195" i="15"/>
  <c r="Y187" i="15"/>
  <c r="Y179" i="15"/>
  <c r="Y171" i="15"/>
  <c r="Y163" i="15"/>
  <c r="Y155" i="15"/>
  <c r="Y147" i="15"/>
  <c r="Y139" i="15"/>
  <c r="Y131" i="15"/>
  <c r="Y123" i="15"/>
  <c r="Y115" i="15"/>
  <c r="Y107" i="15"/>
  <c r="Y99" i="15"/>
  <c r="Y91" i="15"/>
  <c r="Y83" i="15"/>
  <c r="Y75" i="15"/>
  <c r="Y67" i="15"/>
  <c r="Y59" i="15"/>
  <c r="Y51" i="15"/>
  <c r="Y43" i="15"/>
  <c r="Y35" i="15"/>
  <c r="Y27" i="15"/>
  <c r="Y19" i="15"/>
  <c r="Y11" i="15"/>
  <c r="X5" i="15"/>
  <c r="X6" i="15" s="1"/>
  <c r="X7" i="15" s="1"/>
  <c r="X8" i="15" s="1"/>
  <c r="X9" i="15" s="1"/>
  <c r="X10" i="15" s="1"/>
  <c r="X12" i="15" s="1"/>
  <c r="X13" i="15" s="1"/>
  <c r="X14" i="15" s="1"/>
  <c r="X15" i="15" s="1"/>
  <c r="X16" i="15" s="1"/>
  <c r="X17" i="15" s="1"/>
  <c r="X18" i="15" s="1"/>
  <c r="X20" i="15" s="1"/>
  <c r="X21" i="15" s="1"/>
  <c r="X22" i="15" s="1"/>
  <c r="X23" i="15" s="1"/>
  <c r="X24" i="15" s="1"/>
  <c r="X25" i="15" s="1"/>
  <c r="X26" i="15" s="1"/>
  <c r="X28" i="15" s="1"/>
  <c r="X29" i="15" s="1"/>
  <c r="X30" i="15" s="1"/>
  <c r="X31" i="15" s="1"/>
  <c r="X32" i="15" s="1"/>
  <c r="X33" i="15" s="1"/>
  <c r="X34" i="15" s="1"/>
  <c r="X36" i="15" s="1"/>
  <c r="X37" i="15" s="1"/>
  <c r="X38" i="15" s="1"/>
  <c r="X39" i="15" s="1"/>
  <c r="X40" i="15" s="1"/>
  <c r="X41" i="15" s="1"/>
  <c r="X42" i="15" s="1"/>
  <c r="X44" i="15" s="1"/>
  <c r="X45" i="15" s="1"/>
  <c r="X46" i="15" s="1"/>
  <c r="X47" i="15" s="1"/>
  <c r="X48" i="15" s="1"/>
  <c r="X49" i="15" s="1"/>
  <c r="X50" i="15" s="1"/>
  <c r="X52" i="15" s="1"/>
  <c r="X53" i="15" s="1"/>
  <c r="X54" i="15" s="1"/>
  <c r="X55" i="15" s="1"/>
  <c r="X56" i="15" s="1"/>
  <c r="X57" i="15" s="1"/>
  <c r="X58" i="15" s="1"/>
  <c r="X60" i="15" s="1"/>
  <c r="X61" i="15" s="1"/>
  <c r="X62" i="15" s="1"/>
  <c r="X63" i="15" s="1"/>
  <c r="X64" i="15" s="1"/>
  <c r="X65" i="15" s="1"/>
  <c r="X66" i="15" s="1"/>
  <c r="X68" i="15" s="1"/>
  <c r="X69" i="15" s="1"/>
  <c r="X70" i="15" s="1"/>
  <c r="X71" i="15" s="1"/>
  <c r="X72" i="15" s="1"/>
  <c r="X73" i="15" s="1"/>
  <c r="X74" i="15" s="1"/>
  <c r="X76" i="15" s="1"/>
  <c r="X77" i="15" s="1"/>
  <c r="X78" i="15" s="1"/>
  <c r="X79" i="15" s="1"/>
  <c r="X80" i="15" s="1"/>
  <c r="X81" i="15" s="1"/>
  <c r="X82" i="15" s="1"/>
  <c r="X84" i="15" s="1"/>
  <c r="X85" i="15" s="1"/>
  <c r="X86" i="15" s="1"/>
  <c r="X87" i="15" s="1"/>
  <c r="X88" i="15" s="1"/>
  <c r="X89" i="15" s="1"/>
  <c r="X90" i="15" s="1"/>
  <c r="X92" i="15" s="1"/>
  <c r="X93" i="15" s="1"/>
  <c r="X94" i="15" s="1"/>
  <c r="X95" i="15" s="1"/>
  <c r="X96" i="15" s="1"/>
  <c r="X97" i="15" s="1"/>
  <c r="X98" i="15" s="1"/>
  <c r="X100" i="15" s="1"/>
  <c r="X101" i="15" s="1"/>
  <c r="X102" i="15" s="1"/>
  <c r="X103" i="15" s="1"/>
  <c r="X104" i="15" s="1"/>
  <c r="X105" i="15" s="1"/>
  <c r="X106" i="15" s="1"/>
  <c r="X108" i="15" s="1"/>
  <c r="X109" i="15" s="1"/>
  <c r="X110" i="15" s="1"/>
  <c r="X111" i="15" s="1"/>
  <c r="X112" i="15" s="1"/>
  <c r="X113" i="15" s="1"/>
  <c r="X114" i="15" s="1"/>
  <c r="X116" i="15" s="1"/>
  <c r="X117" i="15" s="1"/>
  <c r="X118" i="15" s="1"/>
  <c r="X119" i="15" s="1"/>
  <c r="X120" i="15" s="1"/>
  <c r="X121" i="15" s="1"/>
  <c r="X122" i="15" s="1"/>
  <c r="X124" i="15" s="1"/>
  <c r="X125" i="15" s="1"/>
  <c r="X126" i="15" s="1"/>
  <c r="X127" i="15" s="1"/>
  <c r="X128" i="15" s="1"/>
  <c r="X129" i="15" s="1"/>
  <c r="X130" i="15" s="1"/>
  <c r="X132" i="15" s="1"/>
  <c r="X133" i="15" s="1"/>
  <c r="X134" i="15" s="1"/>
  <c r="X135" i="15" s="1"/>
  <c r="X136" i="15" s="1"/>
  <c r="X137" i="15" s="1"/>
  <c r="X138" i="15" s="1"/>
  <c r="X140" i="15" s="1"/>
  <c r="X141" i="15" s="1"/>
  <c r="X142" i="15" s="1"/>
  <c r="X143" i="15" s="1"/>
  <c r="X144" i="15" s="1"/>
  <c r="X145" i="15" s="1"/>
  <c r="X146" i="15" s="1"/>
  <c r="X148" i="15" s="1"/>
  <c r="X149" i="15" s="1"/>
  <c r="X150" i="15" s="1"/>
  <c r="X151" i="15" s="1"/>
  <c r="X152" i="15" s="1"/>
  <c r="X153" i="15" s="1"/>
  <c r="X154" i="15" s="1"/>
  <c r="X156" i="15" s="1"/>
  <c r="X157" i="15" s="1"/>
  <c r="X158" i="15" s="1"/>
  <c r="X159" i="15" s="1"/>
  <c r="X160" i="15" s="1"/>
  <c r="X161" i="15" s="1"/>
  <c r="X162" i="15" s="1"/>
  <c r="X164" i="15" s="1"/>
  <c r="X165" i="15" s="1"/>
  <c r="X166" i="15" s="1"/>
  <c r="X167" i="15" s="1"/>
  <c r="X168" i="15" s="1"/>
  <c r="X169" i="15" s="1"/>
  <c r="X170" i="15" s="1"/>
  <c r="X172" i="15" s="1"/>
  <c r="X173" i="15" s="1"/>
  <c r="X174" i="15" s="1"/>
  <c r="X175" i="15" s="1"/>
  <c r="X176" i="15" s="1"/>
  <c r="X177" i="15" s="1"/>
  <c r="X178" i="15" s="1"/>
  <c r="X180" i="15" s="1"/>
  <c r="X181" i="15" s="1"/>
  <c r="X182" i="15" s="1"/>
  <c r="X183" i="15" s="1"/>
  <c r="X184" i="15" s="1"/>
  <c r="X185" i="15" s="1"/>
  <c r="X186" i="15" s="1"/>
  <c r="X188" i="15" s="1"/>
  <c r="X189" i="15" s="1"/>
  <c r="X190" i="15" s="1"/>
  <c r="X191" i="15" s="1"/>
  <c r="X192" i="15" s="1"/>
  <c r="X193" i="15" s="1"/>
  <c r="X194" i="15" s="1"/>
  <c r="X196" i="15" s="1"/>
  <c r="X197" i="15" s="1"/>
  <c r="X198" i="15" s="1"/>
  <c r="X199" i="15" s="1"/>
  <c r="X200" i="15" s="1"/>
  <c r="X201" i="15" s="1"/>
  <c r="X202" i="15" s="1"/>
  <c r="X204" i="15" s="1"/>
  <c r="X205" i="15" s="1"/>
  <c r="X206" i="15" s="1"/>
  <c r="X207" i="15" s="1"/>
  <c r="X208" i="15" s="1"/>
  <c r="X209" i="15" s="1"/>
  <c r="X210" i="15" s="1"/>
  <c r="X212" i="15" s="1"/>
  <c r="X213" i="15" s="1"/>
  <c r="X214" i="15" s="1"/>
  <c r="X215" i="15" s="1"/>
  <c r="X216" i="15" s="1"/>
  <c r="X217" i="15" s="1"/>
  <c r="X218" i="15" s="1"/>
  <c r="X220" i="15" s="1"/>
  <c r="X221" i="15" s="1"/>
  <c r="X222" i="15" s="1"/>
  <c r="X223" i="15" s="1"/>
  <c r="X224" i="15" s="1"/>
  <c r="X225" i="15" s="1"/>
  <c r="X226" i="15" s="1"/>
  <c r="X228" i="15" s="1"/>
  <c r="X229" i="15" s="1"/>
  <c r="X230" i="15" s="1"/>
  <c r="X231" i="15" s="1"/>
  <c r="X232" i="15" s="1"/>
  <c r="X233" i="15" s="1"/>
  <c r="X234" i="15" s="1"/>
  <c r="X236" i="15" s="1"/>
  <c r="X237" i="15" s="1"/>
  <c r="X238" i="15" s="1"/>
  <c r="X239" i="15" s="1"/>
  <c r="X240" i="15" s="1"/>
  <c r="X241" i="15" s="1"/>
  <c r="X242" i="15" s="1"/>
  <c r="X244" i="15" s="1"/>
  <c r="X245" i="15" s="1"/>
  <c r="X246" i="15" s="1"/>
  <c r="X247" i="15" s="1"/>
  <c r="X248" i="15" s="1"/>
  <c r="X249" i="15" s="1"/>
  <c r="X250" i="15" s="1"/>
  <c r="X252" i="15" s="1"/>
  <c r="X253" i="15" s="1"/>
  <c r="X254" i="15" s="1"/>
  <c r="X255" i="15" s="1"/>
  <c r="X256" i="15" s="1"/>
  <c r="X257" i="15" s="1"/>
  <c r="X258" i="15" s="1"/>
  <c r="X260" i="15" s="1"/>
  <c r="X261" i="15" s="1"/>
  <c r="X262" i="15" s="1"/>
  <c r="X263" i="15" s="1"/>
  <c r="X264" i="15" s="1"/>
  <c r="X265" i="15" s="1"/>
  <c r="X266" i="15" s="1"/>
  <c r="X268" i="15" s="1"/>
  <c r="X269" i="15" s="1"/>
  <c r="X270" i="15" s="1"/>
  <c r="X271" i="15" s="1"/>
  <c r="X272" i="15" s="1"/>
  <c r="X273" i="15" s="1"/>
  <c r="X274" i="15" s="1"/>
  <c r="X276" i="15" s="1"/>
  <c r="X277" i="15" s="1"/>
  <c r="X278" i="15" s="1"/>
  <c r="X279" i="15" s="1"/>
  <c r="X280" i="15" s="1"/>
  <c r="X281" i="15" s="1"/>
  <c r="X282" i="15" s="1"/>
  <c r="X284" i="15" s="1"/>
  <c r="X285" i="15" s="1"/>
  <c r="X286" i="15" s="1"/>
  <c r="X287" i="15" s="1"/>
  <c r="X288" i="15" s="1"/>
  <c r="X289" i="15" s="1"/>
  <c r="X290" i="15" s="1"/>
  <c r="X292" i="15" s="1"/>
  <c r="X293" i="15" s="1"/>
  <c r="X294" i="15" s="1"/>
  <c r="X295" i="15" s="1"/>
  <c r="X296" i="15" s="1"/>
  <c r="X297" i="15" s="1"/>
  <c r="X298" i="15" s="1"/>
  <c r="X300" i="15" s="1"/>
  <c r="X301" i="15" s="1"/>
  <c r="X302" i="15" s="1"/>
  <c r="X303" i="15" s="1"/>
  <c r="X304" i="15" s="1"/>
  <c r="X305" i="15" s="1"/>
  <c r="X306" i="15" s="1"/>
  <c r="X308" i="15" s="1"/>
  <c r="X309" i="15" s="1"/>
  <c r="X310" i="15" s="1"/>
  <c r="X311" i="15" s="1"/>
  <c r="X312" i="15" s="1"/>
  <c r="X313" i="15" s="1"/>
  <c r="X314" i="15" s="1"/>
  <c r="X316" i="15" s="1"/>
  <c r="X317" i="15" s="1"/>
  <c r="X318" i="15" s="1"/>
  <c r="X319" i="15" s="1"/>
  <c r="X320" i="15" s="1"/>
  <c r="X321" i="15" s="1"/>
  <c r="X322" i="15" s="1"/>
  <c r="X324" i="15" s="1"/>
  <c r="X325" i="15" s="1"/>
  <c r="X326" i="15" s="1"/>
  <c r="X327" i="15" s="1"/>
  <c r="X328" i="15" s="1"/>
  <c r="X329" i="15" s="1"/>
  <c r="X330" i="15" s="1"/>
  <c r="X332" i="15" s="1"/>
  <c r="X333" i="15" s="1"/>
  <c r="X334" i="15" s="1"/>
  <c r="X335" i="15" s="1"/>
  <c r="X336" i="15" s="1"/>
  <c r="X337" i="15" s="1"/>
  <c r="X338" i="15" s="1"/>
  <c r="X340" i="15" s="1"/>
  <c r="X341" i="15" s="1"/>
  <c r="X342" i="15" s="1"/>
  <c r="X343" i="15" s="1"/>
  <c r="X344" i="15" s="1"/>
  <c r="X345" i="15" s="1"/>
  <c r="X346" i="15" s="1"/>
  <c r="X348" i="15" s="1"/>
  <c r="X349" i="15" s="1"/>
  <c r="X350" i="15" s="1"/>
  <c r="X351" i="15" s="1"/>
  <c r="X352" i="15" s="1"/>
  <c r="X353" i="15" s="1"/>
  <c r="X354" i="15" s="1"/>
  <c r="X356" i="15" s="1"/>
  <c r="X357" i="15" s="1"/>
  <c r="X358" i="15" s="1"/>
  <c r="X359" i="15" s="1"/>
  <c r="X360" i="15" s="1"/>
  <c r="X361" i="15" s="1"/>
  <c r="X362" i="15" s="1"/>
  <c r="X364" i="15" s="1"/>
  <c r="X365" i="15" s="1"/>
  <c r="X366" i="15" s="1"/>
  <c r="X367" i="15" s="1"/>
  <c r="X368" i="15" s="1"/>
  <c r="X369" i="15" s="1"/>
  <c r="X370" i="15" s="1"/>
  <c r="X372" i="15" s="1"/>
  <c r="X373" i="15" s="1"/>
  <c r="X374" i="15" s="1"/>
  <c r="X375" i="15" s="1"/>
  <c r="X376" i="15" s="1"/>
  <c r="X377" i="15" s="1"/>
  <c r="X378" i="15" s="1"/>
  <c r="X380" i="15" s="1"/>
  <c r="X381" i="15" s="1"/>
  <c r="X382" i="15" s="1"/>
  <c r="X383" i="15" s="1"/>
  <c r="X384" i="15" s="1"/>
  <c r="X385" i="15" s="1"/>
  <c r="X386" i="15" s="1"/>
  <c r="E47" i="6" l="1"/>
  <c r="E48" i="6"/>
  <c r="E47" i="8"/>
  <c r="E48" i="8"/>
  <c r="E47" i="10"/>
  <c r="E48" i="10"/>
  <c r="E47" i="13"/>
  <c r="E48" i="13"/>
  <c r="E47" i="1"/>
  <c r="E48" i="1"/>
  <c r="E46" i="6"/>
  <c r="E46" i="8"/>
  <c r="E46" i="10"/>
  <c r="E46" i="13"/>
  <c r="E46" i="1"/>
  <c r="AA387" i="15" l="1"/>
  <c r="AA379" i="15"/>
  <c r="AA371" i="15"/>
  <c r="AA363" i="15"/>
  <c r="AA355" i="15"/>
  <c r="AA347" i="15"/>
  <c r="AA339" i="15"/>
  <c r="AA323" i="15"/>
  <c r="AA315" i="15"/>
  <c r="AA307" i="15"/>
  <c r="AA299" i="15"/>
  <c r="AA291" i="15"/>
  <c r="AA283" i="15"/>
  <c r="AA275" i="15"/>
  <c r="AA267" i="15"/>
  <c r="AA259" i="15"/>
  <c r="AA251" i="15"/>
  <c r="AA243" i="15"/>
  <c r="AA235" i="15"/>
  <c r="AA227" i="15"/>
  <c r="AA219" i="15"/>
  <c r="AA211" i="15"/>
  <c r="AA203" i="15"/>
  <c r="AA195" i="15"/>
  <c r="AA187" i="15"/>
  <c r="AA179" i="15"/>
  <c r="AA171" i="15"/>
  <c r="AA163" i="15"/>
  <c r="AA155" i="15"/>
  <c r="AA147" i="15"/>
  <c r="AA139" i="15"/>
  <c r="AA131" i="15"/>
  <c r="AA123" i="15"/>
  <c r="AA115" i="15"/>
  <c r="AA107" i="15"/>
  <c r="AA99" i="15"/>
  <c r="AA91" i="15"/>
  <c r="AA83" i="15"/>
  <c r="AA75" i="15"/>
  <c r="AA67" i="15"/>
  <c r="AA59" i="15"/>
  <c r="AA51" i="15"/>
  <c r="AA43" i="15"/>
  <c r="AA35" i="15"/>
  <c r="AA27" i="15"/>
  <c r="AA19" i="15"/>
  <c r="AA11" i="15"/>
  <c r="Z5" i="15"/>
  <c r="Z6" i="15" s="1"/>
  <c r="Z7" i="15" s="1"/>
  <c r="Z8" i="15" s="1"/>
  <c r="Z9" i="15" s="1"/>
  <c r="Z10" i="15" s="1"/>
  <c r="Z12" i="15" s="1"/>
  <c r="Z13" i="15" s="1"/>
  <c r="Z14" i="15" s="1"/>
  <c r="Z15" i="15" s="1"/>
  <c r="Z16" i="15" s="1"/>
  <c r="Z17" i="15" s="1"/>
  <c r="Z18" i="15" s="1"/>
  <c r="Z20" i="15" s="1"/>
  <c r="Z21" i="15" s="1"/>
  <c r="Z22" i="15" s="1"/>
  <c r="Z23" i="15" s="1"/>
  <c r="Z24" i="15" s="1"/>
  <c r="Z25" i="15" s="1"/>
  <c r="Z26" i="15" s="1"/>
  <c r="Z28" i="15" s="1"/>
  <c r="Z29" i="15" s="1"/>
  <c r="Z30" i="15" s="1"/>
  <c r="Z31" i="15" s="1"/>
  <c r="Z32" i="15" s="1"/>
  <c r="Z33" i="15" s="1"/>
  <c r="Z34" i="15" s="1"/>
  <c r="Z36" i="15" s="1"/>
  <c r="Z37" i="15" s="1"/>
  <c r="Z38" i="15" s="1"/>
  <c r="Z39" i="15" s="1"/>
  <c r="Z40" i="15" s="1"/>
  <c r="Z41" i="15" s="1"/>
  <c r="Z42" i="15" s="1"/>
  <c r="Z44" i="15" s="1"/>
  <c r="Z45" i="15" s="1"/>
  <c r="Z46" i="15" s="1"/>
  <c r="Z47" i="15" s="1"/>
  <c r="Z48" i="15" s="1"/>
  <c r="Z49" i="15" s="1"/>
  <c r="Z50" i="15" s="1"/>
  <c r="Z52" i="15" s="1"/>
  <c r="Z53" i="15" s="1"/>
  <c r="Z54" i="15" s="1"/>
  <c r="Z55" i="15" s="1"/>
  <c r="Z56" i="15" s="1"/>
  <c r="Z57" i="15" s="1"/>
  <c r="Z58" i="15" s="1"/>
  <c r="Z60" i="15" s="1"/>
  <c r="Z61" i="15" s="1"/>
  <c r="Z62" i="15" s="1"/>
  <c r="Z63" i="15" s="1"/>
  <c r="Z64" i="15" s="1"/>
  <c r="Z65" i="15" s="1"/>
  <c r="Z66" i="15" s="1"/>
  <c r="Z68" i="15" s="1"/>
  <c r="Z69" i="15" s="1"/>
  <c r="Z70" i="15" s="1"/>
  <c r="Z71" i="15" s="1"/>
  <c r="Z72" i="15" s="1"/>
  <c r="Z73" i="15" s="1"/>
  <c r="Z74" i="15" s="1"/>
  <c r="Z76" i="15" s="1"/>
  <c r="Z77" i="15" s="1"/>
  <c r="Z78" i="15" s="1"/>
  <c r="Z79" i="15" s="1"/>
  <c r="Z80" i="15" s="1"/>
  <c r="Z81" i="15" s="1"/>
  <c r="Z82" i="15" s="1"/>
  <c r="Z84" i="15" s="1"/>
  <c r="Z85" i="15" s="1"/>
  <c r="Z86" i="15" s="1"/>
  <c r="Z87" i="15" s="1"/>
  <c r="Z88" i="15" s="1"/>
  <c r="Z89" i="15" s="1"/>
  <c r="Z90" i="15" s="1"/>
  <c r="Z92" i="15" s="1"/>
  <c r="Z93" i="15" s="1"/>
  <c r="Z94" i="15" s="1"/>
  <c r="Z95" i="15" s="1"/>
  <c r="Z96" i="15" s="1"/>
  <c r="Z97" i="15" s="1"/>
  <c r="Z98" i="15" s="1"/>
  <c r="Z100" i="15" s="1"/>
  <c r="Z101" i="15" s="1"/>
  <c r="Z102" i="15" s="1"/>
  <c r="Z103" i="15" s="1"/>
  <c r="Z104" i="15" s="1"/>
  <c r="Z105" i="15" s="1"/>
  <c r="Z106" i="15" s="1"/>
  <c r="Z108" i="15" s="1"/>
  <c r="Z109" i="15" s="1"/>
  <c r="Z110" i="15" s="1"/>
  <c r="Z111" i="15" s="1"/>
  <c r="Z112" i="15" s="1"/>
  <c r="Z113" i="15" s="1"/>
  <c r="Z114" i="15" s="1"/>
  <c r="Z116" i="15" s="1"/>
  <c r="Z117" i="15" s="1"/>
  <c r="Z118" i="15" s="1"/>
  <c r="Z119" i="15" s="1"/>
  <c r="Z120" i="15" s="1"/>
  <c r="Z121" i="15" s="1"/>
  <c r="Z122" i="15" s="1"/>
  <c r="Z124" i="15" s="1"/>
  <c r="Z125" i="15" s="1"/>
  <c r="Z126" i="15" s="1"/>
  <c r="Z127" i="15" s="1"/>
  <c r="Z128" i="15" s="1"/>
  <c r="Z129" i="15" s="1"/>
  <c r="Z130" i="15" s="1"/>
  <c r="Z132" i="15" s="1"/>
  <c r="Z133" i="15" s="1"/>
  <c r="Z134" i="15" s="1"/>
  <c r="Z135" i="15" s="1"/>
  <c r="Z136" i="15" s="1"/>
  <c r="Z137" i="15" s="1"/>
  <c r="Z138" i="15" s="1"/>
  <c r="Z140" i="15" s="1"/>
  <c r="Z141" i="15" s="1"/>
  <c r="Z142" i="15" s="1"/>
  <c r="Z143" i="15" s="1"/>
  <c r="Z144" i="15" s="1"/>
  <c r="Z145" i="15" s="1"/>
  <c r="Z146" i="15" s="1"/>
  <c r="Z148" i="15" s="1"/>
  <c r="Z149" i="15" s="1"/>
  <c r="Z150" i="15" s="1"/>
  <c r="Z151" i="15" s="1"/>
  <c r="Z152" i="15" s="1"/>
  <c r="Z153" i="15" s="1"/>
  <c r="Z154" i="15" s="1"/>
  <c r="Z156" i="15" s="1"/>
  <c r="Z157" i="15" s="1"/>
  <c r="Z158" i="15" s="1"/>
  <c r="Z159" i="15" s="1"/>
  <c r="Z160" i="15" s="1"/>
  <c r="Z161" i="15" s="1"/>
  <c r="Z162" i="15" s="1"/>
  <c r="Z164" i="15" s="1"/>
  <c r="Z165" i="15" s="1"/>
  <c r="Z166" i="15" s="1"/>
  <c r="Z167" i="15" s="1"/>
  <c r="Z168" i="15" s="1"/>
  <c r="Z169" i="15" s="1"/>
  <c r="Z170" i="15" s="1"/>
  <c r="Z172" i="15" s="1"/>
  <c r="Z173" i="15" s="1"/>
  <c r="Z174" i="15" s="1"/>
  <c r="Z175" i="15" s="1"/>
  <c r="Z176" i="15" s="1"/>
  <c r="Z177" i="15" s="1"/>
  <c r="Z178" i="15" s="1"/>
  <c r="Z180" i="15" s="1"/>
  <c r="Z181" i="15" s="1"/>
  <c r="Z182" i="15" s="1"/>
  <c r="Z183" i="15" s="1"/>
  <c r="Z184" i="15" s="1"/>
  <c r="Z185" i="15" s="1"/>
  <c r="Z186" i="15" s="1"/>
  <c r="Z188" i="15" s="1"/>
  <c r="Z189" i="15" s="1"/>
  <c r="Z190" i="15" s="1"/>
  <c r="Z191" i="15" s="1"/>
  <c r="Z192" i="15" s="1"/>
  <c r="Z193" i="15" s="1"/>
  <c r="Z194" i="15" s="1"/>
  <c r="Z196" i="15" s="1"/>
  <c r="Z197" i="15" s="1"/>
  <c r="Z198" i="15" s="1"/>
  <c r="Z199" i="15" s="1"/>
  <c r="Z200" i="15" s="1"/>
  <c r="Z201" i="15" s="1"/>
  <c r="Z202" i="15" s="1"/>
  <c r="Z204" i="15" s="1"/>
  <c r="Z205" i="15" s="1"/>
  <c r="Z206" i="15" s="1"/>
  <c r="Z207" i="15" s="1"/>
  <c r="Z208" i="15" s="1"/>
  <c r="Z209" i="15" s="1"/>
  <c r="Z210" i="15" s="1"/>
  <c r="Z212" i="15" s="1"/>
  <c r="Z213" i="15" s="1"/>
  <c r="Z214" i="15" s="1"/>
  <c r="Z215" i="15" s="1"/>
  <c r="Z216" i="15" s="1"/>
  <c r="Z217" i="15" s="1"/>
  <c r="Z218" i="15" s="1"/>
  <c r="Z220" i="15" s="1"/>
  <c r="Z221" i="15" s="1"/>
  <c r="Z222" i="15" s="1"/>
  <c r="Z223" i="15" s="1"/>
  <c r="Z224" i="15" s="1"/>
  <c r="Z225" i="15" s="1"/>
  <c r="Z226" i="15" s="1"/>
  <c r="Z228" i="15" s="1"/>
  <c r="Z229" i="15" s="1"/>
  <c r="Z230" i="15" s="1"/>
  <c r="Z231" i="15" s="1"/>
  <c r="Z232" i="15" s="1"/>
  <c r="Z233" i="15" s="1"/>
  <c r="Z234" i="15" s="1"/>
  <c r="Z236" i="15" s="1"/>
  <c r="Z237" i="15" s="1"/>
  <c r="Z238" i="15" s="1"/>
  <c r="Z239" i="15" s="1"/>
  <c r="Z240" i="15" s="1"/>
  <c r="Z241" i="15" s="1"/>
  <c r="Z242" i="15" s="1"/>
  <c r="Z244" i="15" s="1"/>
  <c r="Z245" i="15" s="1"/>
  <c r="Z246" i="15" s="1"/>
  <c r="Z247" i="15" s="1"/>
  <c r="Z248" i="15" s="1"/>
  <c r="Z249" i="15" s="1"/>
  <c r="Z250" i="15" s="1"/>
  <c r="Z252" i="15" s="1"/>
  <c r="Z253" i="15" s="1"/>
  <c r="Z254" i="15" s="1"/>
  <c r="Z255" i="15" s="1"/>
  <c r="Z256" i="15" s="1"/>
  <c r="Z257" i="15" s="1"/>
  <c r="Z258" i="15" s="1"/>
  <c r="Z260" i="15" s="1"/>
  <c r="Z261" i="15" s="1"/>
  <c r="Z262" i="15" s="1"/>
  <c r="Z263" i="15" s="1"/>
  <c r="Z264" i="15" s="1"/>
  <c r="Z265" i="15" s="1"/>
  <c r="Z266" i="15" s="1"/>
  <c r="Z268" i="15" s="1"/>
  <c r="Z269" i="15" s="1"/>
  <c r="Z270" i="15" s="1"/>
  <c r="Z271" i="15" s="1"/>
  <c r="Z272" i="15" s="1"/>
  <c r="Z273" i="15" s="1"/>
  <c r="Z274" i="15" s="1"/>
  <c r="Z276" i="15" s="1"/>
  <c r="Z277" i="15" s="1"/>
  <c r="Z278" i="15" s="1"/>
  <c r="Z279" i="15" s="1"/>
  <c r="Z280" i="15" s="1"/>
  <c r="Z281" i="15" s="1"/>
  <c r="Z282" i="15" s="1"/>
  <c r="Z284" i="15" s="1"/>
  <c r="Z285" i="15" s="1"/>
  <c r="Z286" i="15" s="1"/>
  <c r="Z287" i="15" s="1"/>
  <c r="Z288" i="15" s="1"/>
  <c r="Z289" i="15" s="1"/>
  <c r="Z290" i="15" s="1"/>
  <c r="Z292" i="15" s="1"/>
  <c r="Z293" i="15" s="1"/>
  <c r="Z294" i="15" s="1"/>
  <c r="Z295" i="15" s="1"/>
  <c r="Z296" i="15" s="1"/>
  <c r="Z297" i="15" s="1"/>
  <c r="Z298" i="15" s="1"/>
  <c r="Z300" i="15" s="1"/>
  <c r="Z301" i="15" s="1"/>
  <c r="Z302" i="15" s="1"/>
  <c r="Z303" i="15" s="1"/>
  <c r="Z304" i="15" s="1"/>
  <c r="Z305" i="15" s="1"/>
  <c r="Z306" i="15" s="1"/>
  <c r="Z308" i="15" s="1"/>
  <c r="Z309" i="15" s="1"/>
  <c r="Z310" i="15" s="1"/>
  <c r="Z311" i="15" s="1"/>
  <c r="Z312" i="15" s="1"/>
  <c r="Z313" i="15" s="1"/>
  <c r="Z314" i="15" s="1"/>
  <c r="Z316" i="15" s="1"/>
  <c r="Z317" i="15" s="1"/>
  <c r="Z318" i="15" s="1"/>
  <c r="Z319" i="15" s="1"/>
  <c r="Z320" i="15" s="1"/>
  <c r="Z321" i="15" s="1"/>
  <c r="Z322" i="15" s="1"/>
  <c r="Z324" i="15" s="1"/>
  <c r="Z325" i="15" s="1"/>
  <c r="Z326" i="15" s="1"/>
  <c r="Z327" i="15" s="1"/>
  <c r="Z328" i="15" s="1"/>
  <c r="Z329" i="15" s="1"/>
  <c r="Z330" i="15" s="1"/>
  <c r="Z332" i="15" s="1"/>
  <c r="Z333" i="15" s="1"/>
  <c r="Z334" i="15" s="1"/>
  <c r="Z335" i="15" s="1"/>
  <c r="Z336" i="15" s="1"/>
  <c r="Z337" i="15" s="1"/>
  <c r="Z338" i="15" s="1"/>
  <c r="Z340" i="15" s="1"/>
  <c r="Z341" i="15" s="1"/>
  <c r="Z342" i="15" s="1"/>
  <c r="Z343" i="15" s="1"/>
  <c r="Z344" i="15" s="1"/>
  <c r="Z345" i="15" s="1"/>
  <c r="Z346" i="15" s="1"/>
  <c r="Z348" i="15" s="1"/>
  <c r="Z349" i="15" s="1"/>
  <c r="Z350" i="15" s="1"/>
  <c r="Z351" i="15" s="1"/>
  <c r="Z352" i="15" s="1"/>
  <c r="Z353" i="15" s="1"/>
  <c r="Z354" i="15" s="1"/>
  <c r="Z356" i="15" s="1"/>
  <c r="Z357" i="15" s="1"/>
  <c r="Z358" i="15" s="1"/>
  <c r="Z359" i="15" s="1"/>
  <c r="Z360" i="15" s="1"/>
  <c r="Z361" i="15" s="1"/>
  <c r="Z362" i="15" s="1"/>
  <c r="Z364" i="15" s="1"/>
  <c r="Z365" i="15" s="1"/>
  <c r="Z366" i="15" s="1"/>
  <c r="Z367" i="15" s="1"/>
  <c r="Z368" i="15" s="1"/>
  <c r="Z369" i="15" s="1"/>
  <c r="Z370" i="15" s="1"/>
  <c r="Z372" i="15" s="1"/>
  <c r="Z373" i="15" s="1"/>
  <c r="Z374" i="15" s="1"/>
  <c r="Z375" i="15" s="1"/>
  <c r="Z376" i="15" s="1"/>
  <c r="Z377" i="15" s="1"/>
  <c r="Z378" i="15" s="1"/>
  <c r="Z380" i="15" s="1"/>
  <c r="Z381" i="15" s="1"/>
  <c r="Z382" i="15" s="1"/>
  <c r="Z383" i="15" s="1"/>
  <c r="Z384" i="15" s="1"/>
  <c r="Z385" i="15" s="1"/>
  <c r="Z386" i="15" s="1"/>
  <c r="H32" i="13" l="1"/>
  <c r="W387" i="15" l="1"/>
  <c r="W379" i="15"/>
  <c r="W371" i="15"/>
  <c r="W363" i="15"/>
  <c r="W355" i="15"/>
  <c r="W347" i="15"/>
  <c r="W339" i="15"/>
  <c r="W331" i="15"/>
  <c r="W323" i="15"/>
  <c r="W315" i="15"/>
  <c r="W307" i="15"/>
  <c r="W299" i="15"/>
  <c r="W291" i="15"/>
  <c r="W283" i="15"/>
  <c r="W275" i="15"/>
  <c r="W267" i="15"/>
  <c r="W259" i="15"/>
  <c r="W251" i="15"/>
  <c r="W243" i="15"/>
  <c r="W235" i="15"/>
  <c r="W227" i="15"/>
  <c r="W219" i="15"/>
  <c r="W211" i="15"/>
  <c r="W203" i="15"/>
  <c r="W195" i="15"/>
  <c r="W187" i="15"/>
  <c r="W179" i="15"/>
  <c r="W171" i="15"/>
  <c r="W163" i="15"/>
  <c r="W155" i="15"/>
  <c r="W147" i="15"/>
  <c r="W139" i="15"/>
  <c r="W131" i="15"/>
  <c r="W123" i="15"/>
  <c r="W115" i="15"/>
  <c r="W107" i="15"/>
  <c r="W99" i="15"/>
  <c r="W91" i="15"/>
  <c r="W83" i="15"/>
  <c r="W75" i="15"/>
  <c r="W67" i="15"/>
  <c r="W59" i="15"/>
  <c r="W51" i="15"/>
  <c r="W43" i="15"/>
  <c r="W35" i="15"/>
  <c r="W27" i="15"/>
  <c r="W19" i="15"/>
  <c r="W11" i="15"/>
  <c r="V5" i="15"/>
  <c r="V6" i="15" s="1"/>
  <c r="V7" i="15" s="1"/>
  <c r="V8" i="15" s="1"/>
  <c r="V9" i="15" s="1"/>
  <c r="V10" i="15" s="1"/>
  <c r="V12" i="15" s="1"/>
  <c r="V13" i="15" s="1"/>
  <c r="V14" i="15" s="1"/>
  <c r="V15" i="15" s="1"/>
  <c r="V16" i="15" s="1"/>
  <c r="V17" i="15" s="1"/>
  <c r="V18" i="15" s="1"/>
  <c r="V20" i="15" s="1"/>
  <c r="V21" i="15" s="1"/>
  <c r="V22" i="15" s="1"/>
  <c r="V23" i="15" s="1"/>
  <c r="V24" i="15" s="1"/>
  <c r="V25" i="15" s="1"/>
  <c r="V26" i="15" s="1"/>
  <c r="V28" i="15" s="1"/>
  <c r="V29" i="15" s="1"/>
  <c r="V30" i="15" s="1"/>
  <c r="V31" i="15" s="1"/>
  <c r="V32" i="15" s="1"/>
  <c r="V33" i="15" s="1"/>
  <c r="V34" i="15" s="1"/>
  <c r="V36" i="15" s="1"/>
  <c r="V37" i="15" s="1"/>
  <c r="V38" i="15" s="1"/>
  <c r="V39" i="15" s="1"/>
  <c r="V40" i="15" s="1"/>
  <c r="V41" i="15" s="1"/>
  <c r="V42" i="15" s="1"/>
  <c r="V44" i="15" s="1"/>
  <c r="V45" i="15" s="1"/>
  <c r="V46" i="15" s="1"/>
  <c r="V47" i="15" s="1"/>
  <c r="V48" i="15" s="1"/>
  <c r="V49" i="15" s="1"/>
  <c r="V50" i="15" s="1"/>
  <c r="V52" i="15" s="1"/>
  <c r="V53" i="15" s="1"/>
  <c r="V54" i="15" s="1"/>
  <c r="V55" i="15" s="1"/>
  <c r="V56" i="15" s="1"/>
  <c r="V57" i="15" s="1"/>
  <c r="V58" i="15" s="1"/>
  <c r="V60" i="15" s="1"/>
  <c r="V61" i="15" s="1"/>
  <c r="V62" i="15" s="1"/>
  <c r="V63" i="15" s="1"/>
  <c r="V64" i="15" s="1"/>
  <c r="V65" i="15" s="1"/>
  <c r="V66" i="15" s="1"/>
  <c r="V68" i="15" s="1"/>
  <c r="V69" i="15" s="1"/>
  <c r="V70" i="15" s="1"/>
  <c r="V71" i="15" s="1"/>
  <c r="V72" i="15" s="1"/>
  <c r="V73" i="15" s="1"/>
  <c r="V74" i="15" s="1"/>
  <c r="V76" i="15" s="1"/>
  <c r="V77" i="15" s="1"/>
  <c r="V78" i="15" s="1"/>
  <c r="V79" i="15" s="1"/>
  <c r="V80" i="15" s="1"/>
  <c r="V81" i="15" s="1"/>
  <c r="V82" i="15" s="1"/>
  <c r="V84" i="15" s="1"/>
  <c r="V85" i="15" s="1"/>
  <c r="V86" i="15" s="1"/>
  <c r="V87" i="15" s="1"/>
  <c r="V88" i="15" s="1"/>
  <c r="V89" i="15" s="1"/>
  <c r="V90" i="15" s="1"/>
  <c r="V92" i="15" s="1"/>
  <c r="V93" i="15" s="1"/>
  <c r="V94" i="15" s="1"/>
  <c r="V95" i="15" s="1"/>
  <c r="V96" i="15" s="1"/>
  <c r="V97" i="15" s="1"/>
  <c r="V98" i="15" s="1"/>
  <c r="V100" i="15" s="1"/>
  <c r="V101" i="15" s="1"/>
  <c r="V102" i="15" s="1"/>
  <c r="V103" i="15" s="1"/>
  <c r="V104" i="15" s="1"/>
  <c r="V105" i="15" s="1"/>
  <c r="V106" i="15" s="1"/>
  <c r="V108" i="15" s="1"/>
  <c r="V109" i="15" s="1"/>
  <c r="V110" i="15" s="1"/>
  <c r="V111" i="15" s="1"/>
  <c r="V112" i="15" s="1"/>
  <c r="V113" i="15" s="1"/>
  <c r="V114" i="15" s="1"/>
  <c r="V116" i="15" s="1"/>
  <c r="V117" i="15" s="1"/>
  <c r="V118" i="15" s="1"/>
  <c r="V119" i="15" s="1"/>
  <c r="V120" i="15" s="1"/>
  <c r="V121" i="15" s="1"/>
  <c r="V122" i="15" s="1"/>
  <c r="V124" i="15" s="1"/>
  <c r="V125" i="15" s="1"/>
  <c r="V126" i="15" s="1"/>
  <c r="V127" i="15" s="1"/>
  <c r="V128" i="15" s="1"/>
  <c r="V129" i="15" s="1"/>
  <c r="V130" i="15" s="1"/>
  <c r="V132" i="15" s="1"/>
  <c r="V133" i="15" s="1"/>
  <c r="V134" i="15" s="1"/>
  <c r="V135" i="15" s="1"/>
  <c r="V136" i="15" s="1"/>
  <c r="V137" i="15" s="1"/>
  <c r="V138" i="15" s="1"/>
  <c r="V140" i="15" s="1"/>
  <c r="V141" i="15" s="1"/>
  <c r="V142" i="15" s="1"/>
  <c r="V143" i="15" s="1"/>
  <c r="V144" i="15" s="1"/>
  <c r="V145" i="15" s="1"/>
  <c r="V146" i="15" s="1"/>
  <c r="V148" i="15" s="1"/>
  <c r="V149" i="15" s="1"/>
  <c r="V150" i="15" s="1"/>
  <c r="V151" i="15" s="1"/>
  <c r="V152" i="15" s="1"/>
  <c r="V153" i="15" s="1"/>
  <c r="V154" i="15" s="1"/>
  <c r="V156" i="15" s="1"/>
  <c r="V157" i="15" s="1"/>
  <c r="V158" i="15" s="1"/>
  <c r="V159" i="15" s="1"/>
  <c r="V160" i="15" s="1"/>
  <c r="V161" i="15" s="1"/>
  <c r="V162" i="15" s="1"/>
  <c r="V164" i="15" s="1"/>
  <c r="V165" i="15" s="1"/>
  <c r="V166" i="15" s="1"/>
  <c r="V167" i="15" s="1"/>
  <c r="V168" i="15" s="1"/>
  <c r="V169" i="15" s="1"/>
  <c r="V170" i="15" s="1"/>
  <c r="V172" i="15" s="1"/>
  <c r="V173" i="15" s="1"/>
  <c r="V174" i="15" s="1"/>
  <c r="V175" i="15" s="1"/>
  <c r="V176" i="15" s="1"/>
  <c r="V177" i="15" s="1"/>
  <c r="V178" i="15" s="1"/>
  <c r="V180" i="15" s="1"/>
  <c r="V181" i="15" s="1"/>
  <c r="V182" i="15" s="1"/>
  <c r="V183" i="15" s="1"/>
  <c r="V184" i="15" s="1"/>
  <c r="V185" i="15" s="1"/>
  <c r="V186" i="15" s="1"/>
  <c r="V188" i="15" s="1"/>
  <c r="V189" i="15" s="1"/>
  <c r="V190" i="15" s="1"/>
  <c r="V191" i="15" s="1"/>
  <c r="V192" i="15" s="1"/>
  <c r="V193" i="15" s="1"/>
  <c r="V194" i="15" s="1"/>
  <c r="V196" i="15" s="1"/>
  <c r="V197" i="15" s="1"/>
  <c r="V198" i="15" s="1"/>
  <c r="V199" i="15" s="1"/>
  <c r="V200" i="15" s="1"/>
  <c r="V201" i="15" s="1"/>
  <c r="V202" i="15" s="1"/>
  <c r="V204" i="15" s="1"/>
  <c r="V205" i="15" s="1"/>
  <c r="V206" i="15" s="1"/>
  <c r="V207" i="15" s="1"/>
  <c r="V208" i="15" s="1"/>
  <c r="V209" i="15" s="1"/>
  <c r="V210" i="15" s="1"/>
  <c r="V212" i="15" s="1"/>
  <c r="V213" i="15" s="1"/>
  <c r="V214" i="15" s="1"/>
  <c r="V215" i="15" s="1"/>
  <c r="V216" i="15" s="1"/>
  <c r="V217" i="15" s="1"/>
  <c r="V218" i="15" s="1"/>
  <c r="V220" i="15" s="1"/>
  <c r="V221" i="15" s="1"/>
  <c r="V222" i="15" s="1"/>
  <c r="V223" i="15" s="1"/>
  <c r="V224" i="15" s="1"/>
  <c r="V225" i="15" s="1"/>
  <c r="V226" i="15" s="1"/>
  <c r="V228" i="15" s="1"/>
  <c r="V229" i="15" s="1"/>
  <c r="V230" i="15" s="1"/>
  <c r="V231" i="15" s="1"/>
  <c r="V232" i="15" s="1"/>
  <c r="V233" i="15" s="1"/>
  <c r="V234" i="15" s="1"/>
  <c r="V236" i="15" s="1"/>
  <c r="V237" i="15" s="1"/>
  <c r="V238" i="15" s="1"/>
  <c r="V239" i="15" s="1"/>
  <c r="V240" i="15" s="1"/>
  <c r="V241" i="15" s="1"/>
  <c r="V242" i="15" s="1"/>
  <c r="V244" i="15" s="1"/>
  <c r="V245" i="15" s="1"/>
  <c r="V246" i="15" s="1"/>
  <c r="V247" i="15" s="1"/>
  <c r="V248" i="15" s="1"/>
  <c r="V249" i="15" s="1"/>
  <c r="V250" i="15" s="1"/>
  <c r="V252" i="15" s="1"/>
  <c r="V253" i="15" s="1"/>
  <c r="V254" i="15" s="1"/>
  <c r="V255" i="15" s="1"/>
  <c r="V256" i="15" s="1"/>
  <c r="V257" i="15" s="1"/>
  <c r="V258" i="15" s="1"/>
  <c r="V260" i="15" s="1"/>
  <c r="V261" i="15" s="1"/>
  <c r="V262" i="15" s="1"/>
  <c r="V263" i="15" s="1"/>
  <c r="V264" i="15" s="1"/>
  <c r="V265" i="15" s="1"/>
  <c r="V266" i="15" s="1"/>
  <c r="V268" i="15" s="1"/>
  <c r="V269" i="15" s="1"/>
  <c r="V270" i="15" s="1"/>
  <c r="V271" i="15" s="1"/>
  <c r="V272" i="15" s="1"/>
  <c r="V273" i="15" s="1"/>
  <c r="V274" i="15" s="1"/>
  <c r="V276" i="15" s="1"/>
  <c r="V277" i="15" s="1"/>
  <c r="V278" i="15" s="1"/>
  <c r="V279" i="15" s="1"/>
  <c r="V280" i="15" s="1"/>
  <c r="V281" i="15" s="1"/>
  <c r="V282" i="15" s="1"/>
  <c r="V284" i="15" s="1"/>
  <c r="V285" i="15" s="1"/>
  <c r="V286" i="15" s="1"/>
  <c r="V287" i="15" s="1"/>
  <c r="V288" i="15" s="1"/>
  <c r="V289" i="15" s="1"/>
  <c r="V290" i="15" s="1"/>
  <c r="V292" i="15" s="1"/>
  <c r="V293" i="15" s="1"/>
  <c r="V294" i="15" s="1"/>
  <c r="V295" i="15" s="1"/>
  <c r="V296" i="15" s="1"/>
  <c r="V297" i="15" s="1"/>
  <c r="V298" i="15" s="1"/>
  <c r="V300" i="15" s="1"/>
  <c r="V301" i="15" s="1"/>
  <c r="V302" i="15" s="1"/>
  <c r="V303" i="15" s="1"/>
  <c r="V304" i="15" s="1"/>
  <c r="V305" i="15" s="1"/>
  <c r="V306" i="15" s="1"/>
  <c r="V308" i="15" s="1"/>
  <c r="V309" i="15" s="1"/>
  <c r="V310" i="15" s="1"/>
  <c r="V311" i="15" s="1"/>
  <c r="V312" i="15" s="1"/>
  <c r="V313" i="15" s="1"/>
  <c r="V314" i="15" s="1"/>
  <c r="V316" i="15" s="1"/>
  <c r="V317" i="15" s="1"/>
  <c r="V318" i="15" s="1"/>
  <c r="V319" i="15" s="1"/>
  <c r="V320" i="15" s="1"/>
  <c r="V321" i="15" s="1"/>
  <c r="V322" i="15" s="1"/>
  <c r="V324" i="15" s="1"/>
  <c r="V325" i="15" s="1"/>
  <c r="V326" i="15" s="1"/>
  <c r="V327" i="15" s="1"/>
  <c r="V328" i="15" s="1"/>
  <c r="V329" i="15" s="1"/>
  <c r="V330" i="15" s="1"/>
  <c r="V332" i="15" s="1"/>
  <c r="V333" i="15" s="1"/>
  <c r="V334" i="15" s="1"/>
  <c r="V335" i="15" s="1"/>
  <c r="V336" i="15" s="1"/>
  <c r="V337" i="15" s="1"/>
  <c r="V338" i="15" s="1"/>
  <c r="V340" i="15" s="1"/>
  <c r="V341" i="15" s="1"/>
  <c r="V342" i="15" s="1"/>
  <c r="V343" i="15" s="1"/>
  <c r="V344" i="15" s="1"/>
  <c r="V345" i="15" s="1"/>
  <c r="V346" i="15" s="1"/>
  <c r="V348" i="15" s="1"/>
  <c r="V349" i="15" s="1"/>
  <c r="V350" i="15" s="1"/>
  <c r="V351" i="15" s="1"/>
  <c r="V352" i="15" s="1"/>
  <c r="V353" i="15" s="1"/>
  <c r="V354" i="15" s="1"/>
  <c r="V356" i="15" s="1"/>
  <c r="V357" i="15" s="1"/>
  <c r="V358" i="15" s="1"/>
  <c r="V359" i="15" s="1"/>
  <c r="V360" i="15" s="1"/>
  <c r="V361" i="15" s="1"/>
  <c r="V362" i="15" s="1"/>
  <c r="V364" i="15" s="1"/>
  <c r="V365" i="15" s="1"/>
  <c r="V366" i="15" s="1"/>
  <c r="V367" i="15" s="1"/>
  <c r="V368" i="15" s="1"/>
  <c r="V369" i="15" s="1"/>
  <c r="V370" i="15" s="1"/>
  <c r="V372" i="15" s="1"/>
  <c r="V373" i="15" s="1"/>
  <c r="V374" i="15" s="1"/>
  <c r="V375" i="15" s="1"/>
  <c r="V376" i="15" s="1"/>
  <c r="V377" i="15" s="1"/>
  <c r="V378" i="15" s="1"/>
  <c r="V380" i="15" s="1"/>
  <c r="V381" i="15" s="1"/>
  <c r="V382" i="15" s="1"/>
  <c r="V383" i="15" s="1"/>
  <c r="V384" i="15" s="1"/>
  <c r="V385" i="15" s="1"/>
  <c r="V386" i="15" s="1"/>
  <c r="U331" i="15" l="1"/>
  <c r="U339" i="15"/>
  <c r="F6" i="7" l="1"/>
  <c r="F6" i="9"/>
  <c r="F6" i="5"/>
  <c r="T5" i="15" l="1"/>
  <c r="T6" i="15" s="1"/>
  <c r="T7" i="15" s="1"/>
  <c r="T8" i="15" s="1"/>
  <c r="T9" i="15" s="1"/>
  <c r="T10" i="15" s="1"/>
  <c r="T12" i="15" s="1"/>
  <c r="T13" i="15" s="1"/>
  <c r="T14" i="15" s="1"/>
  <c r="T15" i="15" s="1"/>
  <c r="T16" i="15" s="1"/>
  <c r="T17" i="15" s="1"/>
  <c r="T18" i="15" s="1"/>
  <c r="T20" i="15" s="1"/>
  <c r="T21" i="15" s="1"/>
  <c r="T22" i="15" s="1"/>
  <c r="T23" i="15" s="1"/>
  <c r="T24" i="15" s="1"/>
  <c r="T25" i="15" s="1"/>
  <c r="T26" i="15" s="1"/>
  <c r="T28" i="15" s="1"/>
  <c r="T29" i="15" s="1"/>
  <c r="T30" i="15" s="1"/>
  <c r="T31" i="15" s="1"/>
  <c r="T32" i="15" s="1"/>
  <c r="T33" i="15" s="1"/>
  <c r="T34" i="15" s="1"/>
  <c r="T36" i="15" s="1"/>
  <c r="T37" i="15" s="1"/>
  <c r="T38" i="15" s="1"/>
  <c r="T39" i="15" s="1"/>
  <c r="T40" i="15" s="1"/>
  <c r="T41" i="15" s="1"/>
  <c r="T42" i="15" s="1"/>
  <c r="T44" i="15" s="1"/>
  <c r="T45" i="15" s="1"/>
  <c r="T46" i="15" s="1"/>
  <c r="T47" i="15" s="1"/>
  <c r="T48" i="15" s="1"/>
  <c r="T49" i="15" s="1"/>
  <c r="T50" i="15" s="1"/>
  <c r="T52" i="15" s="1"/>
  <c r="T53" i="15" s="1"/>
  <c r="T54" i="15" s="1"/>
  <c r="T55" i="15" s="1"/>
  <c r="T56" i="15" s="1"/>
  <c r="T57" i="15" s="1"/>
  <c r="T58" i="15" s="1"/>
  <c r="T60" i="15" s="1"/>
  <c r="T61" i="15" s="1"/>
  <c r="T62" i="15" s="1"/>
  <c r="T63" i="15" s="1"/>
  <c r="T64" i="15" s="1"/>
  <c r="T65" i="15" s="1"/>
  <c r="T66" i="15" s="1"/>
  <c r="T68" i="15" s="1"/>
  <c r="T69" i="15" s="1"/>
  <c r="T70" i="15" s="1"/>
  <c r="T71" i="15" s="1"/>
  <c r="T72" i="15" s="1"/>
  <c r="T73" i="15" s="1"/>
  <c r="T74" i="15" s="1"/>
  <c r="T76" i="15" s="1"/>
  <c r="T77" i="15" s="1"/>
  <c r="T78" i="15" s="1"/>
  <c r="T79" i="15" s="1"/>
  <c r="T80" i="15" s="1"/>
  <c r="T81" i="15" s="1"/>
  <c r="T82" i="15" s="1"/>
  <c r="T84" i="15" s="1"/>
  <c r="T85" i="15" s="1"/>
  <c r="T86" i="15" s="1"/>
  <c r="T87" i="15" s="1"/>
  <c r="T88" i="15" s="1"/>
  <c r="T89" i="15" s="1"/>
  <c r="T90" i="15" s="1"/>
  <c r="T92" i="15" s="1"/>
  <c r="T93" i="15" s="1"/>
  <c r="T94" i="15" s="1"/>
  <c r="T95" i="15" s="1"/>
  <c r="T96" i="15" s="1"/>
  <c r="T97" i="15" s="1"/>
  <c r="T98" i="15" s="1"/>
  <c r="T100" i="15" s="1"/>
  <c r="T101" i="15" s="1"/>
  <c r="T102" i="15" s="1"/>
  <c r="T103" i="15" s="1"/>
  <c r="T104" i="15" s="1"/>
  <c r="T105" i="15" s="1"/>
  <c r="T106" i="15" s="1"/>
  <c r="T108" i="15" s="1"/>
  <c r="T109" i="15" s="1"/>
  <c r="T110" i="15" s="1"/>
  <c r="T111" i="15" s="1"/>
  <c r="T112" i="15" s="1"/>
  <c r="T113" i="15" s="1"/>
  <c r="T114" i="15" s="1"/>
  <c r="T116" i="15" s="1"/>
  <c r="T117" i="15" s="1"/>
  <c r="T118" i="15" s="1"/>
  <c r="T119" i="15" s="1"/>
  <c r="T120" i="15" s="1"/>
  <c r="T121" i="15" s="1"/>
  <c r="T122" i="15" s="1"/>
  <c r="T124" i="15" s="1"/>
  <c r="T125" i="15" s="1"/>
  <c r="T126" i="15" s="1"/>
  <c r="T127" i="15" s="1"/>
  <c r="T128" i="15" s="1"/>
  <c r="T129" i="15" s="1"/>
  <c r="T130" i="15" s="1"/>
  <c r="T132" i="15" s="1"/>
  <c r="T133" i="15" s="1"/>
  <c r="T134" i="15" s="1"/>
  <c r="T135" i="15" s="1"/>
  <c r="T136" i="15" s="1"/>
  <c r="T137" i="15" s="1"/>
  <c r="T138" i="15" s="1"/>
  <c r="T140" i="15" s="1"/>
  <c r="T141" i="15" s="1"/>
  <c r="T142" i="15" s="1"/>
  <c r="T143" i="15" s="1"/>
  <c r="T144" i="15" s="1"/>
  <c r="T145" i="15" s="1"/>
  <c r="T146" i="15" s="1"/>
  <c r="T148" i="15" s="1"/>
  <c r="T149" i="15" s="1"/>
  <c r="T150" i="15" s="1"/>
  <c r="T151" i="15" s="1"/>
  <c r="T152" i="15" s="1"/>
  <c r="T153" i="15" s="1"/>
  <c r="T154" i="15" s="1"/>
  <c r="T156" i="15" s="1"/>
  <c r="T157" i="15" s="1"/>
  <c r="T158" i="15" s="1"/>
  <c r="T159" i="15" s="1"/>
  <c r="T160" i="15" s="1"/>
  <c r="T161" i="15" s="1"/>
  <c r="T162" i="15" s="1"/>
  <c r="T164" i="15" s="1"/>
  <c r="T165" i="15" s="1"/>
  <c r="T166" i="15" s="1"/>
  <c r="T167" i="15" s="1"/>
  <c r="T168" i="15" s="1"/>
  <c r="T169" i="15" s="1"/>
  <c r="T170" i="15" s="1"/>
  <c r="T172" i="15" s="1"/>
  <c r="T173" i="15" s="1"/>
  <c r="T174" i="15" s="1"/>
  <c r="T175" i="15" s="1"/>
  <c r="T176" i="15" s="1"/>
  <c r="T177" i="15" s="1"/>
  <c r="T178" i="15" s="1"/>
  <c r="T180" i="15" s="1"/>
  <c r="T181" i="15" s="1"/>
  <c r="T182" i="15" s="1"/>
  <c r="T183" i="15" s="1"/>
  <c r="T184" i="15" s="1"/>
  <c r="T185" i="15" s="1"/>
  <c r="T186" i="15" s="1"/>
  <c r="T188" i="15" s="1"/>
  <c r="T189" i="15" s="1"/>
  <c r="T190" i="15" s="1"/>
  <c r="T191" i="15" s="1"/>
  <c r="T192" i="15" s="1"/>
  <c r="T193" i="15" s="1"/>
  <c r="T194" i="15" s="1"/>
  <c r="T196" i="15" s="1"/>
  <c r="T197" i="15" s="1"/>
  <c r="T198" i="15" s="1"/>
  <c r="T199" i="15" s="1"/>
  <c r="T200" i="15" s="1"/>
  <c r="T201" i="15" s="1"/>
  <c r="T202" i="15" s="1"/>
  <c r="T204" i="15" s="1"/>
  <c r="T205" i="15" s="1"/>
  <c r="T206" i="15" s="1"/>
  <c r="T207" i="15" s="1"/>
  <c r="T208" i="15" s="1"/>
  <c r="T209" i="15" s="1"/>
  <c r="T210" i="15" s="1"/>
  <c r="T212" i="15" s="1"/>
  <c r="T213" i="15" s="1"/>
  <c r="T214" i="15" s="1"/>
  <c r="T215" i="15" s="1"/>
  <c r="T216" i="15" s="1"/>
  <c r="T217" i="15" s="1"/>
  <c r="T218" i="15" s="1"/>
  <c r="T220" i="15" s="1"/>
  <c r="T221" i="15" s="1"/>
  <c r="T222" i="15" s="1"/>
  <c r="T223" i="15" s="1"/>
  <c r="T224" i="15" s="1"/>
  <c r="T225" i="15" s="1"/>
  <c r="T226" i="15" s="1"/>
  <c r="T228" i="15" s="1"/>
  <c r="T229" i="15" s="1"/>
  <c r="T230" i="15" s="1"/>
  <c r="T231" i="15" s="1"/>
  <c r="T232" i="15" s="1"/>
  <c r="T233" i="15" s="1"/>
  <c r="T234" i="15" s="1"/>
  <c r="T236" i="15" s="1"/>
  <c r="T237" i="15" s="1"/>
  <c r="T238" i="15" s="1"/>
  <c r="T239" i="15" s="1"/>
  <c r="T240" i="15" s="1"/>
  <c r="T241" i="15" s="1"/>
  <c r="T242" i="15" s="1"/>
  <c r="T244" i="15" s="1"/>
  <c r="T245" i="15" s="1"/>
  <c r="T246" i="15" s="1"/>
  <c r="T247" i="15" s="1"/>
  <c r="T248" i="15" s="1"/>
  <c r="T249" i="15" s="1"/>
  <c r="T250" i="15" s="1"/>
  <c r="T252" i="15" s="1"/>
  <c r="T253" i="15" s="1"/>
  <c r="T254" i="15" s="1"/>
  <c r="T255" i="15" s="1"/>
  <c r="T256" i="15" s="1"/>
  <c r="T257" i="15" s="1"/>
  <c r="T258" i="15" s="1"/>
  <c r="T260" i="15" s="1"/>
  <c r="T261" i="15" s="1"/>
  <c r="T262" i="15" s="1"/>
  <c r="T263" i="15" s="1"/>
  <c r="T264" i="15" s="1"/>
  <c r="T265" i="15" s="1"/>
  <c r="T266" i="15" s="1"/>
  <c r="T268" i="15" s="1"/>
  <c r="T269" i="15" s="1"/>
  <c r="T270" i="15" s="1"/>
  <c r="T271" i="15" s="1"/>
  <c r="T272" i="15" s="1"/>
  <c r="T273" i="15" s="1"/>
  <c r="T274" i="15" s="1"/>
  <c r="T276" i="15" s="1"/>
  <c r="T277" i="15" s="1"/>
  <c r="T278" i="15" s="1"/>
  <c r="T279" i="15" s="1"/>
  <c r="T280" i="15" s="1"/>
  <c r="T281" i="15" s="1"/>
  <c r="T282" i="15" s="1"/>
  <c r="T284" i="15" s="1"/>
  <c r="T285" i="15" s="1"/>
  <c r="T286" i="15" s="1"/>
  <c r="T287" i="15" s="1"/>
  <c r="T288" i="15" s="1"/>
  <c r="T289" i="15" s="1"/>
  <c r="T290" i="15" s="1"/>
  <c r="T292" i="15" s="1"/>
  <c r="T293" i="15" s="1"/>
  <c r="T294" i="15" s="1"/>
  <c r="T295" i="15" s="1"/>
  <c r="T296" i="15" s="1"/>
  <c r="T297" i="15" s="1"/>
  <c r="T298" i="15" s="1"/>
  <c r="T300" i="15" s="1"/>
  <c r="T301" i="15" s="1"/>
  <c r="T302" i="15" s="1"/>
  <c r="T303" i="15" s="1"/>
  <c r="T304" i="15" s="1"/>
  <c r="T305" i="15" s="1"/>
  <c r="T306" i="15" s="1"/>
  <c r="T308" i="15" s="1"/>
  <c r="T309" i="15" s="1"/>
  <c r="T310" i="15" s="1"/>
  <c r="T311" i="15" s="1"/>
  <c r="T312" i="15" s="1"/>
  <c r="T313" i="15" s="1"/>
  <c r="T314" i="15" s="1"/>
  <c r="T316" i="15" s="1"/>
  <c r="T317" i="15" s="1"/>
  <c r="T318" i="15" s="1"/>
  <c r="T319" i="15" s="1"/>
  <c r="T320" i="15" s="1"/>
  <c r="T321" i="15" s="1"/>
  <c r="T322" i="15" s="1"/>
  <c r="T324" i="15" s="1"/>
  <c r="T325" i="15" s="1"/>
  <c r="T326" i="15" s="1"/>
  <c r="T327" i="15" s="1"/>
  <c r="T328" i="15" s="1"/>
  <c r="T329" i="15" s="1"/>
  <c r="T330" i="15" s="1"/>
  <c r="T332" i="15" s="1"/>
  <c r="T333" i="15" s="1"/>
  <c r="T334" i="15" s="1"/>
  <c r="T335" i="15" s="1"/>
  <c r="T336" i="15" s="1"/>
  <c r="T337" i="15" s="1"/>
  <c r="T338" i="15" s="1"/>
  <c r="T340" i="15" s="1"/>
  <c r="T341" i="15" s="1"/>
  <c r="T342" i="15" s="1"/>
  <c r="T343" i="15" s="1"/>
  <c r="T344" i="15" s="1"/>
  <c r="T345" i="15" s="1"/>
  <c r="T346" i="15" s="1"/>
  <c r="T348" i="15" s="1"/>
  <c r="T349" i="15" s="1"/>
  <c r="T350" i="15" s="1"/>
  <c r="T351" i="15" s="1"/>
  <c r="T352" i="15" s="1"/>
  <c r="T353" i="15" s="1"/>
  <c r="T354" i="15" s="1"/>
  <c r="T356" i="15" s="1"/>
  <c r="T357" i="15" s="1"/>
  <c r="T358" i="15" s="1"/>
  <c r="T359" i="15" s="1"/>
  <c r="T360" i="15" s="1"/>
  <c r="T361" i="15" s="1"/>
  <c r="T362" i="15" s="1"/>
  <c r="T364" i="15" s="1"/>
  <c r="T365" i="15" s="1"/>
  <c r="T366" i="15" s="1"/>
  <c r="T367" i="15" s="1"/>
  <c r="T368" i="15" s="1"/>
  <c r="T369" i="15" s="1"/>
  <c r="T370" i="15" s="1"/>
  <c r="T372" i="15" s="1"/>
  <c r="T373" i="15" s="1"/>
  <c r="T374" i="15" s="1"/>
  <c r="T375" i="15" s="1"/>
  <c r="T376" i="15" s="1"/>
  <c r="T377" i="15" s="1"/>
  <c r="T378" i="15" s="1"/>
  <c r="T380" i="15" s="1"/>
  <c r="T381" i="15" s="1"/>
  <c r="T382" i="15" s="1"/>
  <c r="T383" i="15" s="1"/>
  <c r="T384" i="15" s="1"/>
  <c r="T385" i="15" s="1"/>
  <c r="T386" i="15" s="1"/>
  <c r="U387" i="15"/>
  <c r="U379" i="15"/>
  <c r="U371" i="15"/>
  <c r="U363" i="15"/>
  <c r="U355" i="15"/>
  <c r="U347" i="15"/>
  <c r="U323" i="15"/>
  <c r="U315" i="15"/>
  <c r="U307" i="15"/>
  <c r="U299" i="15"/>
  <c r="U291" i="15"/>
  <c r="U283" i="15"/>
  <c r="U275" i="15"/>
  <c r="U267" i="15"/>
  <c r="U259" i="15"/>
  <c r="U251" i="15"/>
  <c r="U243" i="15"/>
  <c r="U235" i="15"/>
  <c r="U227" i="15"/>
  <c r="U219" i="15"/>
  <c r="U211" i="15"/>
  <c r="U203" i="15"/>
  <c r="U195" i="15"/>
  <c r="U187" i="15"/>
  <c r="U179" i="15"/>
  <c r="U171" i="15"/>
  <c r="U163" i="15"/>
  <c r="U155" i="15"/>
  <c r="U147" i="15"/>
  <c r="U139" i="15"/>
  <c r="U131" i="15"/>
  <c r="U123" i="15"/>
  <c r="U115" i="15"/>
  <c r="U107" i="15"/>
  <c r="U99" i="15"/>
  <c r="U91" i="15"/>
  <c r="U83" i="15"/>
  <c r="U75" i="15"/>
  <c r="U67" i="15"/>
  <c r="U59" i="15"/>
  <c r="U51" i="15"/>
  <c r="U43" i="15"/>
  <c r="U35" i="15"/>
  <c r="U27" i="15"/>
  <c r="U19" i="15"/>
  <c r="U11" i="15"/>
  <c r="AL379" i="15" l="1"/>
  <c r="AK379" i="15"/>
  <c r="AJ379" i="15"/>
  <c r="AM378" i="15"/>
  <c r="AM377" i="15"/>
  <c r="AM376" i="15"/>
  <c r="AM375" i="15"/>
  <c r="AM374" i="15"/>
  <c r="AM373" i="15"/>
  <c r="AM372" i="15"/>
  <c r="AL371" i="15"/>
  <c r="AK371" i="15"/>
  <c r="AJ371" i="15"/>
  <c r="AM370" i="15"/>
  <c r="AM369" i="15"/>
  <c r="AM368" i="15"/>
  <c r="AM367" i="15"/>
  <c r="AM366" i="15"/>
  <c r="AM365" i="15"/>
  <c r="AM364" i="15"/>
  <c r="AL363" i="15"/>
  <c r="AK363" i="15"/>
  <c r="AJ363" i="15"/>
  <c r="AM362" i="15"/>
  <c r="AM361" i="15"/>
  <c r="AM360" i="15"/>
  <c r="AM359" i="15"/>
  <c r="AM358" i="15"/>
  <c r="AM357" i="15"/>
  <c r="AM356" i="15"/>
  <c r="AL355" i="15"/>
  <c r="AK355" i="15"/>
  <c r="AJ355" i="15"/>
  <c r="AM354" i="15"/>
  <c r="AM353" i="15"/>
  <c r="AM352" i="15"/>
  <c r="AM351" i="15"/>
  <c r="AM350" i="15"/>
  <c r="AM349" i="15"/>
  <c r="AM348" i="15"/>
  <c r="S387" i="15"/>
  <c r="Q387" i="15"/>
  <c r="O387" i="15"/>
  <c r="S379" i="15"/>
  <c r="Q379" i="15"/>
  <c r="O379" i="15"/>
  <c r="S371" i="15"/>
  <c r="Q371" i="15"/>
  <c r="O371" i="15"/>
  <c r="S363" i="15"/>
  <c r="Q363" i="15"/>
  <c r="O363" i="15"/>
  <c r="AM363" i="15" l="1"/>
  <c r="AM379" i="15"/>
  <c r="AM371" i="15"/>
  <c r="AM355" i="15"/>
  <c r="AL347" i="15"/>
  <c r="AK347" i="15"/>
  <c r="AJ347" i="15"/>
  <c r="AM346" i="15"/>
  <c r="AM345" i="15"/>
  <c r="AM344" i="15"/>
  <c r="AM343" i="15"/>
  <c r="AM342" i="15"/>
  <c r="AM341" i="15"/>
  <c r="AM340" i="15"/>
  <c r="AL339" i="15"/>
  <c r="AK339" i="15"/>
  <c r="AJ339" i="15"/>
  <c r="AM338" i="15"/>
  <c r="AM337" i="15"/>
  <c r="AM336" i="15"/>
  <c r="AM335" i="15"/>
  <c r="AM334" i="15"/>
  <c r="AM333" i="15"/>
  <c r="AM332" i="15"/>
  <c r="AL331" i="15"/>
  <c r="AK331" i="15"/>
  <c r="AJ331" i="15"/>
  <c r="AM330" i="15"/>
  <c r="AM329" i="15"/>
  <c r="AM328" i="15"/>
  <c r="AM327" i="15"/>
  <c r="AM326" i="15"/>
  <c r="AM325" i="15"/>
  <c r="AM324" i="15"/>
  <c r="AL323" i="15"/>
  <c r="AK323" i="15"/>
  <c r="AJ323" i="15"/>
  <c r="AM322" i="15"/>
  <c r="AM321" i="15"/>
  <c r="AM320" i="15"/>
  <c r="AM319" i="15"/>
  <c r="AM318" i="15"/>
  <c r="AM317" i="15"/>
  <c r="AM316" i="15"/>
  <c r="AL315" i="15"/>
  <c r="AK315" i="15"/>
  <c r="AJ315" i="15"/>
  <c r="AM314" i="15"/>
  <c r="AM313" i="15"/>
  <c r="AM312" i="15"/>
  <c r="AM311" i="15"/>
  <c r="AM310" i="15"/>
  <c r="AM309" i="15"/>
  <c r="AM308" i="15"/>
  <c r="AL307" i="15"/>
  <c r="AK307" i="15"/>
  <c r="AJ307" i="15"/>
  <c r="AM306" i="15"/>
  <c r="AM305" i="15"/>
  <c r="AM304" i="15"/>
  <c r="AM303" i="15"/>
  <c r="AM302" i="15"/>
  <c r="AM301" i="15"/>
  <c r="AM300" i="15"/>
  <c r="AL299" i="15"/>
  <c r="AK299" i="15"/>
  <c r="AJ299" i="15"/>
  <c r="AM298" i="15"/>
  <c r="AM297" i="15"/>
  <c r="AM296" i="15"/>
  <c r="AM295" i="15"/>
  <c r="AM294" i="15"/>
  <c r="AM293" i="15"/>
  <c r="AM292" i="15"/>
  <c r="AL291" i="15"/>
  <c r="AK291" i="15"/>
  <c r="AJ291" i="15"/>
  <c r="AM290" i="15"/>
  <c r="AM289" i="15"/>
  <c r="AM288" i="15"/>
  <c r="AM287" i="15"/>
  <c r="AM286" i="15"/>
  <c r="AM285" i="15"/>
  <c r="AM284" i="15"/>
  <c r="AL283" i="15"/>
  <c r="AK283" i="15"/>
  <c r="AJ283" i="15"/>
  <c r="AM282" i="15"/>
  <c r="AM281" i="15"/>
  <c r="AM280" i="15"/>
  <c r="AM279" i="15"/>
  <c r="AM278" i="15"/>
  <c r="AM277" i="15"/>
  <c r="AM276" i="15"/>
  <c r="S355" i="15"/>
  <c r="Q355" i="15"/>
  <c r="O355" i="15"/>
  <c r="S347" i="15"/>
  <c r="Q347" i="15"/>
  <c r="O347" i="15"/>
  <c r="S339" i="15"/>
  <c r="Q339" i="15"/>
  <c r="O339" i="15"/>
  <c r="S331" i="15"/>
  <c r="Q331" i="15"/>
  <c r="O331" i="15"/>
  <c r="S323" i="15"/>
  <c r="Q323" i="15"/>
  <c r="O323" i="15"/>
  <c r="S315" i="15"/>
  <c r="Q315" i="15"/>
  <c r="O315" i="15"/>
  <c r="S307" i="15"/>
  <c r="Q307" i="15"/>
  <c r="O307" i="15"/>
  <c r="S299" i="15"/>
  <c r="Q299" i="15"/>
  <c r="O299" i="15"/>
  <c r="S291" i="15"/>
  <c r="Q291" i="15"/>
  <c r="O291" i="15"/>
  <c r="AM347" i="15" l="1"/>
  <c r="AM331" i="15"/>
  <c r="AM291" i="15"/>
  <c r="AM307" i="15"/>
  <c r="AM315" i="15"/>
  <c r="AM323" i="15"/>
  <c r="AM339" i="15"/>
  <c r="AM283" i="15"/>
  <c r="AM299" i="15"/>
  <c r="AL275" i="15"/>
  <c r="AK275" i="15"/>
  <c r="AJ275" i="15"/>
  <c r="AM274" i="15"/>
  <c r="AM273" i="15"/>
  <c r="AM272" i="15"/>
  <c r="AM271" i="15"/>
  <c r="AM270" i="15"/>
  <c r="AM269" i="15"/>
  <c r="AM268" i="15"/>
  <c r="AL267" i="15"/>
  <c r="AK267" i="15"/>
  <c r="AJ267" i="15"/>
  <c r="AM266" i="15"/>
  <c r="AM265" i="15"/>
  <c r="AM264" i="15"/>
  <c r="AM263" i="15"/>
  <c r="AM262" i="15"/>
  <c r="AM261" i="15"/>
  <c r="AM260" i="15"/>
  <c r="AL259" i="15"/>
  <c r="AK259" i="15"/>
  <c r="AJ259" i="15"/>
  <c r="AM258" i="15"/>
  <c r="AM257" i="15"/>
  <c r="AM256" i="15"/>
  <c r="AM255" i="15"/>
  <c r="AM254" i="15"/>
  <c r="AM253" i="15"/>
  <c r="AM252" i="15"/>
  <c r="AL251" i="15"/>
  <c r="AK251" i="15"/>
  <c r="AJ251" i="15"/>
  <c r="AM250" i="15"/>
  <c r="AM249" i="15"/>
  <c r="AM248" i="15"/>
  <c r="AM247" i="15"/>
  <c r="AM246" i="15"/>
  <c r="AM245" i="15"/>
  <c r="AM244" i="15"/>
  <c r="S283" i="15"/>
  <c r="Q283" i="15"/>
  <c r="O283" i="15"/>
  <c r="S275" i="15"/>
  <c r="Q275" i="15"/>
  <c r="O275" i="15"/>
  <c r="S267" i="15"/>
  <c r="Q267" i="15"/>
  <c r="O267" i="15"/>
  <c r="S259" i="15"/>
  <c r="Q259" i="15"/>
  <c r="O259" i="15"/>
  <c r="AM275" i="15" l="1"/>
  <c r="AM251" i="15"/>
  <c r="AM267" i="15"/>
  <c r="AM259" i="15"/>
  <c r="AL243" i="15"/>
  <c r="AK243" i="15"/>
  <c r="AJ243" i="15"/>
  <c r="AM242" i="15"/>
  <c r="AM241" i="15"/>
  <c r="AM240" i="15"/>
  <c r="AM239" i="15"/>
  <c r="AM238" i="15"/>
  <c r="AM237" i="15"/>
  <c r="AM236" i="15"/>
  <c r="AL235" i="15"/>
  <c r="AK235" i="15"/>
  <c r="AJ235" i="15"/>
  <c r="AM234" i="15"/>
  <c r="AM233" i="15"/>
  <c r="AM232" i="15"/>
  <c r="AM231" i="15"/>
  <c r="AM230" i="15"/>
  <c r="AM229" i="15"/>
  <c r="AM228" i="15"/>
  <c r="AL227" i="15"/>
  <c r="AK227" i="15"/>
  <c r="AJ227" i="15"/>
  <c r="AM226" i="15"/>
  <c r="AM225" i="15"/>
  <c r="AM224" i="15"/>
  <c r="AM223" i="15"/>
  <c r="AM222" i="15"/>
  <c r="AM221" i="15"/>
  <c r="AM220" i="15"/>
  <c r="AL219" i="15"/>
  <c r="AK219" i="15"/>
  <c r="AJ219" i="15"/>
  <c r="AM218" i="15"/>
  <c r="AM217" i="15"/>
  <c r="AM216" i="15"/>
  <c r="AM215" i="15"/>
  <c r="AM214" i="15"/>
  <c r="AM213" i="15"/>
  <c r="AM212" i="15"/>
  <c r="S251" i="15"/>
  <c r="Q251" i="15"/>
  <c r="O251" i="15"/>
  <c r="S243" i="15"/>
  <c r="Q243" i="15"/>
  <c r="O243" i="15"/>
  <c r="S235" i="15"/>
  <c r="Q235" i="15"/>
  <c r="O235" i="15"/>
  <c r="S227" i="15"/>
  <c r="Q227" i="15"/>
  <c r="O227" i="15"/>
  <c r="AM235" i="15" l="1"/>
  <c r="AM219" i="15"/>
  <c r="AM227" i="15"/>
  <c r="AM243" i="15"/>
  <c r="AL211" i="15"/>
  <c r="AK211" i="15"/>
  <c r="AJ211" i="15"/>
  <c r="AM210" i="15"/>
  <c r="AM209" i="15"/>
  <c r="AM208" i="15"/>
  <c r="AM207" i="15"/>
  <c r="AM206" i="15"/>
  <c r="AM205" i="15"/>
  <c r="AM204" i="15"/>
  <c r="AL203" i="15"/>
  <c r="AK203" i="15"/>
  <c r="AJ203" i="15"/>
  <c r="AM202" i="15"/>
  <c r="AM201" i="15"/>
  <c r="AM200" i="15"/>
  <c r="AM199" i="15"/>
  <c r="AM198" i="15"/>
  <c r="AM197" i="15"/>
  <c r="AM196" i="15"/>
  <c r="AL195" i="15"/>
  <c r="AK195" i="15"/>
  <c r="AJ195" i="15"/>
  <c r="AM194" i="15"/>
  <c r="AM193" i="15"/>
  <c r="AM192" i="15"/>
  <c r="AM191" i="15"/>
  <c r="AM190" i="15"/>
  <c r="AM189" i="15"/>
  <c r="AM188" i="15"/>
  <c r="AL187" i="15"/>
  <c r="AK187" i="15"/>
  <c r="AJ187" i="15"/>
  <c r="AM186" i="15"/>
  <c r="AM185" i="15"/>
  <c r="AM184" i="15"/>
  <c r="AM183" i="15"/>
  <c r="AM182" i="15"/>
  <c r="AM181" i="15"/>
  <c r="AM180" i="15"/>
  <c r="AL179" i="15"/>
  <c r="AK179" i="15"/>
  <c r="AJ179" i="15"/>
  <c r="AM178" i="15"/>
  <c r="AM177" i="15"/>
  <c r="AM176" i="15"/>
  <c r="AM175" i="15"/>
  <c r="AM174" i="15"/>
  <c r="AM173" i="15"/>
  <c r="AM172" i="15"/>
  <c r="S219" i="15"/>
  <c r="Q219" i="15"/>
  <c r="O219" i="15"/>
  <c r="S211" i="15"/>
  <c r="Q211" i="15"/>
  <c r="O211" i="15"/>
  <c r="S203" i="15"/>
  <c r="Q203" i="15"/>
  <c r="O203" i="15"/>
  <c r="S195" i="15"/>
  <c r="Q195" i="15"/>
  <c r="O195" i="15"/>
  <c r="S187" i="15"/>
  <c r="Q187" i="15"/>
  <c r="O187" i="15"/>
  <c r="AM179" i="15" l="1"/>
  <c r="AM211" i="15"/>
  <c r="AM195" i="15"/>
  <c r="AM187" i="15"/>
  <c r="AM203" i="15"/>
  <c r="AL171" i="15"/>
  <c r="AK171" i="15"/>
  <c r="AJ171" i="15"/>
  <c r="AM170" i="15"/>
  <c r="AM169" i="15"/>
  <c r="AM168" i="15"/>
  <c r="AM167" i="15"/>
  <c r="AM166" i="15"/>
  <c r="AM165" i="15"/>
  <c r="AM164" i="15"/>
  <c r="AL163" i="15"/>
  <c r="AK163" i="15"/>
  <c r="AJ163" i="15"/>
  <c r="AM162" i="15"/>
  <c r="AM161" i="15"/>
  <c r="AM160" i="15"/>
  <c r="AM159" i="15"/>
  <c r="AM158" i="15"/>
  <c r="AM157" i="15"/>
  <c r="AM156" i="15"/>
  <c r="AL155" i="15"/>
  <c r="AK155" i="15"/>
  <c r="AJ155" i="15"/>
  <c r="AM154" i="15"/>
  <c r="AM153" i="15"/>
  <c r="AM152" i="15"/>
  <c r="AM151" i="15"/>
  <c r="AM150" i="15"/>
  <c r="AM149" i="15"/>
  <c r="AM148" i="15"/>
  <c r="AL147" i="15"/>
  <c r="AK147" i="15"/>
  <c r="AJ147" i="15"/>
  <c r="AM146" i="15"/>
  <c r="AM145" i="15"/>
  <c r="AM144" i="15"/>
  <c r="AM143" i="15"/>
  <c r="AM142" i="15"/>
  <c r="AM141" i="15"/>
  <c r="AM140" i="15"/>
  <c r="S179" i="15"/>
  <c r="Q179" i="15"/>
  <c r="O179" i="15"/>
  <c r="S171" i="15"/>
  <c r="Q171" i="15"/>
  <c r="O171" i="15"/>
  <c r="S163" i="15"/>
  <c r="Q163" i="15"/>
  <c r="O163" i="15"/>
  <c r="S155" i="15"/>
  <c r="Q155" i="15"/>
  <c r="O155" i="15"/>
  <c r="AM163" i="15" l="1"/>
  <c r="AM147" i="15"/>
  <c r="AM155" i="15"/>
  <c r="AM171" i="15"/>
  <c r="J48" i="6"/>
  <c r="AL139" i="15" l="1"/>
  <c r="AK139" i="15"/>
  <c r="AJ139" i="15"/>
  <c r="AM138" i="15"/>
  <c r="AM137" i="15"/>
  <c r="AM136" i="15"/>
  <c r="AM135" i="15"/>
  <c r="AM134" i="15"/>
  <c r="AM133" i="15"/>
  <c r="AM132" i="15"/>
  <c r="AL131" i="15"/>
  <c r="AK131" i="15"/>
  <c r="AJ131" i="15"/>
  <c r="AM130" i="15"/>
  <c r="AM129" i="15"/>
  <c r="AM128" i="15"/>
  <c r="AM127" i="15"/>
  <c r="AM126" i="15"/>
  <c r="AM125" i="15"/>
  <c r="AM124" i="15"/>
  <c r="AL123" i="15"/>
  <c r="AK123" i="15"/>
  <c r="AJ123" i="15"/>
  <c r="AM122" i="15"/>
  <c r="AM121" i="15"/>
  <c r="AM120" i="15"/>
  <c r="AM119" i="15"/>
  <c r="AM118" i="15"/>
  <c r="AM117" i="15"/>
  <c r="AM116" i="15"/>
  <c r="AL115" i="15"/>
  <c r="AK115" i="15"/>
  <c r="AJ115" i="15"/>
  <c r="AM114" i="15"/>
  <c r="AM113" i="15"/>
  <c r="AM112" i="15"/>
  <c r="AM111" i="15"/>
  <c r="AM110" i="15"/>
  <c r="AM109" i="15"/>
  <c r="AM108" i="15"/>
  <c r="AL107" i="15"/>
  <c r="AK107" i="15"/>
  <c r="AJ107" i="15"/>
  <c r="AM106" i="15"/>
  <c r="AM105" i="15"/>
  <c r="AM104" i="15"/>
  <c r="AM103" i="15"/>
  <c r="AM102" i="15"/>
  <c r="AM101" i="15"/>
  <c r="AM100" i="15"/>
  <c r="AL99" i="15"/>
  <c r="AK99" i="15"/>
  <c r="AJ99" i="15"/>
  <c r="AM98" i="15"/>
  <c r="AM97" i="15"/>
  <c r="AM96" i="15"/>
  <c r="AM95" i="15"/>
  <c r="AM94" i="15"/>
  <c r="AM93" i="15"/>
  <c r="AM92" i="15"/>
  <c r="AL91" i="15"/>
  <c r="AK91" i="15"/>
  <c r="AJ91" i="15"/>
  <c r="AM90" i="15"/>
  <c r="AM89" i="15"/>
  <c r="AM88" i="15"/>
  <c r="AM87" i="15"/>
  <c r="AM86" i="15"/>
  <c r="AM85" i="15"/>
  <c r="AM84" i="15"/>
  <c r="AL83" i="15"/>
  <c r="AK83" i="15"/>
  <c r="AJ83" i="15"/>
  <c r="AM82" i="15"/>
  <c r="AM81" i="15"/>
  <c r="AM80" i="15"/>
  <c r="AM79" i="15"/>
  <c r="AM78" i="15"/>
  <c r="AM77" i="15"/>
  <c r="AM76" i="15"/>
  <c r="AL75" i="15"/>
  <c r="AK75" i="15"/>
  <c r="AJ75" i="15"/>
  <c r="AM74" i="15"/>
  <c r="AM73" i="15"/>
  <c r="AM72" i="15"/>
  <c r="AM71" i="15"/>
  <c r="AM70" i="15"/>
  <c r="AM69" i="15"/>
  <c r="AM68" i="15"/>
  <c r="S147" i="15"/>
  <c r="Q147" i="15"/>
  <c r="O147" i="15"/>
  <c r="S139" i="15"/>
  <c r="Q139" i="15"/>
  <c r="O139" i="15"/>
  <c r="S131" i="15"/>
  <c r="Q131" i="15"/>
  <c r="O131" i="15"/>
  <c r="S123" i="15"/>
  <c r="Q123" i="15"/>
  <c r="O123" i="15"/>
  <c r="S115" i="15"/>
  <c r="Q115" i="15"/>
  <c r="O115" i="15"/>
  <c r="S107" i="15"/>
  <c r="Q107" i="15"/>
  <c r="O107" i="15"/>
  <c r="S99" i="15"/>
  <c r="Q99" i="15"/>
  <c r="O99" i="15"/>
  <c r="S91" i="15"/>
  <c r="Q91" i="15"/>
  <c r="O91" i="15"/>
  <c r="S83" i="15"/>
  <c r="Q83" i="15"/>
  <c r="O83" i="15"/>
  <c r="AM139" i="15" l="1"/>
  <c r="AM107" i="15"/>
  <c r="AM123" i="15"/>
  <c r="AM83" i="15"/>
  <c r="AM115" i="15"/>
  <c r="AM131" i="15"/>
  <c r="AM99" i="15"/>
  <c r="AM91" i="15"/>
  <c r="AM75" i="15"/>
  <c r="J38" i="13"/>
  <c r="K38" i="13"/>
  <c r="C4" i="17" l="1"/>
  <c r="U4" i="17" s="1"/>
  <c r="AA4" i="17" s="1"/>
  <c r="S75" i="15"/>
  <c r="Q75" i="15"/>
  <c r="O75" i="15"/>
  <c r="I4" i="17" l="1"/>
  <c r="O4" i="17"/>
  <c r="AL67" i="15"/>
  <c r="AK67" i="15"/>
  <c r="AJ67" i="15"/>
  <c r="AM66" i="15"/>
  <c r="AM65" i="15"/>
  <c r="AM64" i="15"/>
  <c r="AM63" i="15"/>
  <c r="AM62" i="15"/>
  <c r="AM61" i="15"/>
  <c r="AM60" i="15"/>
  <c r="AL59" i="15"/>
  <c r="AK59" i="15"/>
  <c r="AJ59" i="15"/>
  <c r="AM58" i="15"/>
  <c r="AM57" i="15"/>
  <c r="AM56" i="15"/>
  <c r="AM55" i="15"/>
  <c r="AM54" i="15"/>
  <c r="AM53" i="15"/>
  <c r="AM52" i="15"/>
  <c r="AL51" i="15"/>
  <c r="AK51" i="15"/>
  <c r="AJ51" i="15"/>
  <c r="AM50" i="15"/>
  <c r="AM49" i="15"/>
  <c r="AM48" i="15"/>
  <c r="AM47" i="15"/>
  <c r="AM46" i="15"/>
  <c r="AM45" i="15"/>
  <c r="AM44" i="15"/>
  <c r="AL43" i="15"/>
  <c r="AK43" i="15"/>
  <c r="AJ43" i="15"/>
  <c r="AM42" i="15"/>
  <c r="AM41" i="15"/>
  <c r="AM40" i="15"/>
  <c r="AM39" i="15"/>
  <c r="AM38" i="15"/>
  <c r="AM37" i="15"/>
  <c r="AM36" i="15"/>
  <c r="R36" i="15"/>
  <c r="R37" i="15" s="1"/>
  <c r="R38" i="15" s="1"/>
  <c r="R39" i="15" s="1"/>
  <c r="R40" i="15" s="1"/>
  <c r="R41" i="15" s="1"/>
  <c r="R42" i="15" s="1"/>
  <c r="R44" i="15" s="1"/>
  <c r="R45" i="15" s="1"/>
  <c r="R46" i="15" s="1"/>
  <c r="R47" i="15" s="1"/>
  <c r="R48" i="15" s="1"/>
  <c r="R49" i="15" s="1"/>
  <c r="R50" i="15" s="1"/>
  <c r="R52" i="15" s="1"/>
  <c r="R53" i="15" s="1"/>
  <c r="R54" i="15" s="1"/>
  <c r="R55" i="15" s="1"/>
  <c r="R56" i="15" s="1"/>
  <c r="R57" i="15" s="1"/>
  <c r="R58" i="15" s="1"/>
  <c r="R60" i="15" s="1"/>
  <c r="R61" i="15" s="1"/>
  <c r="R62" i="15" s="1"/>
  <c r="R63" i="15" s="1"/>
  <c r="R64" i="15" s="1"/>
  <c r="R65" i="15" s="1"/>
  <c r="R66" i="15" s="1"/>
  <c r="R68" i="15" s="1"/>
  <c r="R69" i="15" s="1"/>
  <c r="R70" i="15" s="1"/>
  <c r="R71" i="15" s="1"/>
  <c r="R72" i="15" s="1"/>
  <c r="R73" i="15" s="1"/>
  <c r="R74" i="15" s="1"/>
  <c r="R76" i="15" s="1"/>
  <c r="R77" i="15" s="1"/>
  <c r="R78" i="15" s="1"/>
  <c r="R79" i="15" s="1"/>
  <c r="R80" i="15" s="1"/>
  <c r="R81" i="15" s="1"/>
  <c r="R82" i="15" s="1"/>
  <c r="R84" i="15" s="1"/>
  <c r="R85" i="15" s="1"/>
  <c r="R86" i="15" s="1"/>
  <c r="R87" i="15" s="1"/>
  <c r="R88" i="15" s="1"/>
  <c r="R89" i="15" s="1"/>
  <c r="R90" i="15" s="1"/>
  <c r="R92" i="15" s="1"/>
  <c r="R93" i="15" s="1"/>
  <c r="R94" i="15" s="1"/>
  <c r="R95" i="15" s="1"/>
  <c r="R96" i="15" s="1"/>
  <c r="R97" i="15" s="1"/>
  <c r="R98" i="15" s="1"/>
  <c r="R100" i="15" s="1"/>
  <c r="R101" i="15" s="1"/>
  <c r="R102" i="15" s="1"/>
  <c r="R103" i="15" s="1"/>
  <c r="R104" i="15" s="1"/>
  <c r="R105" i="15" s="1"/>
  <c r="R106" i="15" s="1"/>
  <c r="R108" i="15" s="1"/>
  <c r="R109" i="15" s="1"/>
  <c r="R110" i="15" s="1"/>
  <c r="R111" i="15" s="1"/>
  <c r="R112" i="15" s="1"/>
  <c r="R113" i="15" s="1"/>
  <c r="R114" i="15" s="1"/>
  <c r="R116" i="15" s="1"/>
  <c r="R117" i="15" s="1"/>
  <c r="R118" i="15" s="1"/>
  <c r="R119" i="15" s="1"/>
  <c r="R120" i="15" s="1"/>
  <c r="R121" i="15" s="1"/>
  <c r="R122" i="15" s="1"/>
  <c r="R124" i="15" s="1"/>
  <c r="R125" i="15" s="1"/>
  <c r="R126" i="15" s="1"/>
  <c r="R127" i="15" s="1"/>
  <c r="R128" i="15" s="1"/>
  <c r="R129" i="15" s="1"/>
  <c r="R130" i="15" s="1"/>
  <c r="R132" i="15" s="1"/>
  <c r="R133" i="15" s="1"/>
  <c r="R134" i="15" s="1"/>
  <c r="R135" i="15" s="1"/>
  <c r="R136" i="15" s="1"/>
  <c r="R137" i="15" s="1"/>
  <c r="R138" i="15" s="1"/>
  <c r="R140" i="15" s="1"/>
  <c r="R141" i="15" s="1"/>
  <c r="R142" i="15" s="1"/>
  <c r="R143" i="15" s="1"/>
  <c r="R144" i="15" s="1"/>
  <c r="R145" i="15" s="1"/>
  <c r="R146" i="15" s="1"/>
  <c r="R148" i="15" s="1"/>
  <c r="R149" i="15" s="1"/>
  <c r="R150" i="15" s="1"/>
  <c r="R151" i="15" s="1"/>
  <c r="R152" i="15" s="1"/>
  <c r="R153" i="15" s="1"/>
  <c r="R154" i="15" s="1"/>
  <c r="R156" i="15" s="1"/>
  <c r="R157" i="15" s="1"/>
  <c r="R158" i="15" s="1"/>
  <c r="R159" i="15" s="1"/>
  <c r="R160" i="15" s="1"/>
  <c r="R161" i="15" s="1"/>
  <c r="R162" i="15" s="1"/>
  <c r="R164" i="15" s="1"/>
  <c r="R165" i="15" s="1"/>
  <c r="R166" i="15" s="1"/>
  <c r="R167" i="15" s="1"/>
  <c r="R168" i="15" s="1"/>
  <c r="R169" i="15" s="1"/>
  <c r="R170" i="15" s="1"/>
  <c r="R172" i="15" s="1"/>
  <c r="R173" i="15" s="1"/>
  <c r="R174" i="15" s="1"/>
  <c r="R175" i="15" s="1"/>
  <c r="R176" i="15" s="1"/>
  <c r="R177" i="15" s="1"/>
  <c r="R178" i="15" s="1"/>
  <c r="R180" i="15" s="1"/>
  <c r="R181" i="15" s="1"/>
  <c r="R182" i="15" s="1"/>
  <c r="R183" i="15" s="1"/>
  <c r="R184" i="15" s="1"/>
  <c r="R185" i="15" s="1"/>
  <c r="R186" i="15" s="1"/>
  <c r="R188" i="15" s="1"/>
  <c r="R189" i="15" s="1"/>
  <c r="R190" i="15" s="1"/>
  <c r="R191" i="15" s="1"/>
  <c r="R192" i="15" s="1"/>
  <c r="R193" i="15" s="1"/>
  <c r="R194" i="15" s="1"/>
  <c r="R196" i="15" s="1"/>
  <c r="R197" i="15" s="1"/>
  <c r="R198" i="15" s="1"/>
  <c r="R199" i="15" s="1"/>
  <c r="R200" i="15" s="1"/>
  <c r="R201" i="15" s="1"/>
  <c r="R202" i="15" s="1"/>
  <c r="R204" i="15" s="1"/>
  <c r="R205" i="15" s="1"/>
  <c r="R206" i="15" s="1"/>
  <c r="R207" i="15" s="1"/>
  <c r="R208" i="15" s="1"/>
  <c r="R209" i="15" s="1"/>
  <c r="R210" i="15" s="1"/>
  <c r="R212" i="15" s="1"/>
  <c r="R213" i="15" s="1"/>
  <c r="R214" i="15" s="1"/>
  <c r="R215" i="15" s="1"/>
  <c r="R216" i="15" s="1"/>
  <c r="R217" i="15" s="1"/>
  <c r="R218" i="15" s="1"/>
  <c r="R220" i="15" s="1"/>
  <c r="R221" i="15" s="1"/>
  <c r="R222" i="15" s="1"/>
  <c r="R223" i="15" s="1"/>
  <c r="R224" i="15" s="1"/>
  <c r="R225" i="15" s="1"/>
  <c r="R226" i="15" s="1"/>
  <c r="R228" i="15" s="1"/>
  <c r="R229" i="15" s="1"/>
  <c r="R230" i="15" s="1"/>
  <c r="R231" i="15" s="1"/>
  <c r="R232" i="15" s="1"/>
  <c r="R233" i="15" s="1"/>
  <c r="R234" i="15" s="1"/>
  <c r="R236" i="15" s="1"/>
  <c r="R237" i="15" s="1"/>
  <c r="R238" i="15" s="1"/>
  <c r="R239" i="15" s="1"/>
  <c r="R240" i="15" s="1"/>
  <c r="R241" i="15" s="1"/>
  <c r="R242" i="15" s="1"/>
  <c r="R244" i="15" s="1"/>
  <c r="R245" i="15" s="1"/>
  <c r="R246" i="15" s="1"/>
  <c r="R247" i="15" s="1"/>
  <c r="R248" i="15" s="1"/>
  <c r="R249" i="15" s="1"/>
  <c r="R250" i="15" s="1"/>
  <c r="R252" i="15" s="1"/>
  <c r="R253" i="15" s="1"/>
  <c r="R254" i="15" s="1"/>
  <c r="R255" i="15" s="1"/>
  <c r="R256" i="15" s="1"/>
  <c r="R257" i="15" s="1"/>
  <c r="R258" i="15" s="1"/>
  <c r="R260" i="15" s="1"/>
  <c r="R261" i="15" s="1"/>
  <c r="R262" i="15" s="1"/>
  <c r="R263" i="15" s="1"/>
  <c r="R264" i="15" s="1"/>
  <c r="R265" i="15" s="1"/>
  <c r="R266" i="15" s="1"/>
  <c r="R268" i="15" s="1"/>
  <c r="R269" i="15" s="1"/>
  <c r="R270" i="15" s="1"/>
  <c r="R271" i="15" s="1"/>
  <c r="R272" i="15" s="1"/>
  <c r="R273" i="15" s="1"/>
  <c r="R274" i="15" s="1"/>
  <c r="R276" i="15" s="1"/>
  <c r="R277" i="15" s="1"/>
  <c r="R278" i="15" s="1"/>
  <c r="R279" i="15" s="1"/>
  <c r="R280" i="15" s="1"/>
  <c r="R281" i="15" s="1"/>
  <c r="R282" i="15" s="1"/>
  <c r="R284" i="15" s="1"/>
  <c r="R285" i="15" s="1"/>
  <c r="R286" i="15" s="1"/>
  <c r="R287" i="15" s="1"/>
  <c r="R288" i="15" s="1"/>
  <c r="R289" i="15" s="1"/>
  <c r="R290" i="15" s="1"/>
  <c r="R292" i="15" s="1"/>
  <c r="R293" i="15" s="1"/>
  <c r="R294" i="15" s="1"/>
  <c r="R295" i="15" s="1"/>
  <c r="R296" i="15" s="1"/>
  <c r="R297" i="15" s="1"/>
  <c r="R298" i="15" s="1"/>
  <c r="R300" i="15" s="1"/>
  <c r="R301" i="15" s="1"/>
  <c r="R302" i="15" s="1"/>
  <c r="R303" i="15" s="1"/>
  <c r="R304" i="15" s="1"/>
  <c r="R305" i="15" s="1"/>
  <c r="R306" i="15" s="1"/>
  <c r="R308" i="15" s="1"/>
  <c r="R309" i="15" s="1"/>
  <c r="R310" i="15" s="1"/>
  <c r="R311" i="15" s="1"/>
  <c r="R312" i="15" s="1"/>
  <c r="R313" i="15" s="1"/>
  <c r="R314" i="15" s="1"/>
  <c r="R316" i="15" s="1"/>
  <c r="R317" i="15" s="1"/>
  <c r="R318" i="15" s="1"/>
  <c r="R319" i="15" s="1"/>
  <c r="R320" i="15" s="1"/>
  <c r="R321" i="15" s="1"/>
  <c r="R322" i="15" s="1"/>
  <c r="R324" i="15" s="1"/>
  <c r="R325" i="15" s="1"/>
  <c r="R326" i="15" s="1"/>
  <c r="R327" i="15" s="1"/>
  <c r="R328" i="15" s="1"/>
  <c r="R329" i="15" s="1"/>
  <c r="R330" i="15" s="1"/>
  <c r="R332" i="15" s="1"/>
  <c r="R333" i="15" s="1"/>
  <c r="R334" i="15" s="1"/>
  <c r="R335" i="15" s="1"/>
  <c r="R336" i="15" s="1"/>
  <c r="R337" i="15" s="1"/>
  <c r="R338" i="15" s="1"/>
  <c r="R340" i="15" s="1"/>
  <c r="R341" i="15" s="1"/>
  <c r="R342" i="15" s="1"/>
  <c r="R343" i="15" s="1"/>
  <c r="R344" i="15" s="1"/>
  <c r="R345" i="15" s="1"/>
  <c r="R346" i="15" s="1"/>
  <c r="R348" i="15" s="1"/>
  <c r="R349" i="15" s="1"/>
  <c r="R350" i="15" s="1"/>
  <c r="R351" i="15" s="1"/>
  <c r="R352" i="15" s="1"/>
  <c r="R353" i="15" s="1"/>
  <c r="R354" i="15" s="1"/>
  <c r="R356" i="15" s="1"/>
  <c r="R357" i="15" s="1"/>
  <c r="R358" i="15" s="1"/>
  <c r="R359" i="15" s="1"/>
  <c r="R360" i="15" s="1"/>
  <c r="R361" i="15" s="1"/>
  <c r="R362" i="15" s="1"/>
  <c r="R364" i="15" s="1"/>
  <c r="R365" i="15" s="1"/>
  <c r="R366" i="15" s="1"/>
  <c r="R367" i="15" s="1"/>
  <c r="R368" i="15" s="1"/>
  <c r="R369" i="15" s="1"/>
  <c r="R370" i="15" s="1"/>
  <c r="R372" i="15" s="1"/>
  <c r="R373" i="15" s="1"/>
  <c r="R374" i="15" s="1"/>
  <c r="R375" i="15" s="1"/>
  <c r="R376" i="15" s="1"/>
  <c r="R377" i="15" s="1"/>
  <c r="R378" i="15" s="1"/>
  <c r="R380" i="15" s="1"/>
  <c r="R381" i="15" s="1"/>
  <c r="R382" i="15" s="1"/>
  <c r="R383" i="15" s="1"/>
  <c r="R384" i="15" s="1"/>
  <c r="R385" i="15" s="1"/>
  <c r="R386" i="15" s="1"/>
  <c r="S67" i="15"/>
  <c r="Q67" i="15"/>
  <c r="O67" i="15"/>
  <c r="S59" i="15"/>
  <c r="Q59" i="15"/>
  <c r="O59" i="15"/>
  <c r="S51" i="15"/>
  <c r="Q51" i="15"/>
  <c r="O51" i="15"/>
  <c r="S43" i="15"/>
  <c r="Q43" i="15"/>
  <c r="O43" i="15"/>
  <c r="O4" i="10"/>
  <c r="O3" i="10"/>
  <c r="O4" i="8"/>
  <c r="O3" i="8"/>
  <c r="O4" i="6"/>
  <c r="O3" i="6"/>
  <c r="O4" i="1"/>
  <c r="O3" i="1"/>
  <c r="AM67" i="15" l="1"/>
  <c r="AM51" i="15"/>
  <c r="AM59" i="15"/>
  <c r="AM43" i="15"/>
  <c r="N4" i="1"/>
  <c r="N3" i="1"/>
  <c r="N3" i="10" l="1"/>
  <c r="N3" i="13"/>
  <c r="N3" i="6"/>
  <c r="N3" i="8"/>
  <c r="N4" i="10"/>
  <c r="N4" i="13"/>
  <c r="N4" i="6"/>
  <c r="N4" i="8"/>
  <c r="E16" i="6" l="1"/>
  <c r="E16" i="8"/>
  <c r="R12" i="17" s="1"/>
  <c r="E16" i="10"/>
  <c r="P16" i="10" s="1"/>
  <c r="Q16" i="10" s="1"/>
  <c r="E16" i="1"/>
  <c r="L25" i="7"/>
  <c r="L25" i="9"/>
  <c r="L25" i="5"/>
  <c r="J25" i="7"/>
  <c r="J25" i="9"/>
  <c r="J25" i="5"/>
  <c r="P16" i="6" l="1"/>
  <c r="Q16" i="6" s="1"/>
  <c r="P16" i="8"/>
  <c r="Q16" i="8" s="1"/>
  <c r="E16" i="13"/>
  <c r="AD12" i="17" s="1"/>
  <c r="X12" i="17"/>
  <c r="L12" i="17"/>
  <c r="F12" i="17"/>
  <c r="P16" i="1"/>
  <c r="P380" i="15"/>
  <c r="P381" i="15" s="1"/>
  <c r="P382" i="15" s="1"/>
  <c r="P383" i="15" s="1"/>
  <c r="P384" i="15" s="1"/>
  <c r="P385" i="15" s="1"/>
  <c r="P386" i="15" s="1"/>
  <c r="P388" i="15" s="1"/>
  <c r="P389" i="15" s="1"/>
  <c r="P390" i="15" s="1"/>
  <c r="P391" i="15" s="1"/>
  <c r="P392" i="15" s="1"/>
  <c r="P393" i="15" s="1"/>
  <c r="P394" i="15" s="1"/>
  <c r="P395" i="15" s="1"/>
  <c r="P396" i="15" s="1"/>
  <c r="P397" i="15" s="1"/>
  <c r="P398" i="15" s="1"/>
  <c r="P399" i="15" s="1"/>
  <c r="P400" i="15" s="1"/>
  <c r="P401" i="15" s="1"/>
  <c r="P402" i="15" s="1"/>
  <c r="P403" i="15" s="1"/>
  <c r="P404" i="15" s="1"/>
  <c r="P405" i="15" s="1"/>
  <c r="P406" i="15" s="1"/>
  <c r="P407" i="15" s="1"/>
  <c r="P408" i="15" s="1"/>
  <c r="P409" i="15" s="1"/>
  <c r="P410" i="15" s="1"/>
  <c r="P411" i="15" s="1"/>
  <c r="P412" i="15" s="1"/>
  <c r="P413" i="15" s="1"/>
  <c r="P414" i="15" s="1"/>
  <c r="P415" i="15" s="1"/>
  <c r="P416" i="15" s="1"/>
  <c r="P417" i="15" s="1"/>
  <c r="P418" i="15" s="1"/>
  <c r="Q16" i="1" l="1"/>
  <c r="P16" i="13"/>
  <c r="E26" i="7"/>
  <c r="E26" i="9"/>
  <c r="E26" i="5"/>
  <c r="E22" i="7"/>
  <c r="E22" i="9"/>
  <c r="E22" i="5"/>
  <c r="C75" i="4"/>
  <c r="Q16" i="13" l="1"/>
  <c r="K41" i="8"/>
  <c r="J41" i="8"/>
  <c r="K41" i="1"/>
  <c r="C25" i="17" l="1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24" i="17"/>
  <c r="D37" i="9"/>
  <c r="E37" i="9"/>
  <c r="D37" i="7"/>
  <c r="E37" i="7"/>
  <c r="E32" i="9"/>
  <c r="E32" i="7"/>
  <c r="J44" i="7"/>
  <c r="J44" i="9"/>
  <c r="J44" i="5"/>
  <c r="J43" i="7"/>
  <c r="J43" i="9"/>
  <c r="J43" i="5"/>
  <c r="J42" i="7"/>
  <c r="J42" i="9"/>
  <c r="J42" i="5"/>
  <c r="J41" i="7"/>
  <c r="J41" i="9"/>
  <c r="J41" i="5"/>
  <c r="J40" i="7"/>
  <c r="J40" i="9"/>
  <c r="J40" i="5"/>
  <c r="J29" i="7"/>
  <c r="J30" i="7"/>
  <c r="J31" i="7"/>
  <c r="J32" i="7"/>
  <c r="J34" i="7"/>
  <c r="J35" i="7"/>
  <c r="J29" i="9"/>
  <c r="J30" i="9"/>
  <c r="J31" i="9"/>
  <c r="J32" i="9"/>
  <c r="J34" i="9"/>
  <c r="J35" i="9"/>
  <c r="J29" i="5"/>
  <c r="J30" i="5"/>
  <c r="J31" i="5"/>
  <c r="J32" i="5"/>
  <c r="J34" i="5"/>
  <c r="J35" i="5"/>
  <c r="J28" i="7"/>
  <c r="J28" i="9"/>
  <c r="J28" i="5"/>
  <c r="J24" i="7"/>
  <c r="J24" i="9"/>
  <c r="J24" i="5"/>
  <c r="J23" i="7"/>
  <c r="J23" i="9"/>
  <c r="J23" i="5"/>
  <c r="J22" i="7"/>
  <c r="J22" i="9"/>
  <c r="J22" i="5"/>
  <c r="J21" i="7"/>
  <c r="J21" i="9"/>
  <c r="J21" i="5"/>
  <c r="J20" i="7"/>
  <c r="J20" i="9"/>
  <c r="J20" i="5"/>
  <c r="E32" i="5"/>
  <c r="D37" i="5"/>
  <c r="E37" i="5"/>
  <c r="C77" i="4"/>
  <c r="J36" i="4"/>
  <c r="I2" i="17"/>
  <c r="O2" i="17" s="1"/>
  <c r="U2" i="17" s="1"/>
  <c r="AA2" i="17" s="1"/>
  <c r="O11" i="15"/>
  <c r="O19" i="15"/>
  <c r="O27" i="15"/>
  <c r="O35" i="15"/>
  <c r="F126" i="22" l="1"/>
  <c r="G126" i="22"/>
  <c r="H126" i="22"/>
  <c r="E126" i="22"/>
  <c r="F113" i="22"/>
  <c r="G113" i="22"/>
  <c r="H113" i="22"/>
  <c r="E113" i="22"/>
  <c r="F95" i="22"/>
  <c r="G95" i="22"/>
  <c r="H95" i="22"/>
  <c r="E95" i="22"/>
  <c r="F19" i="1" l="1"/>
  <c r="F20" i="1"/>
  <c r="F21" i="1"/>
  <c r="F22" i="1"/>
  <c r="F23" i="1"/>
  <c r="F24" i="1"/>
  <c r="F25" i="1"/>
  <c r="E43" i="17"/>
  <c r="W25" i="17" l="1"/>
  <c r="W26" i="17"/>
  <c r="W27" i="17"/>
  <c r="W28" i="17"/>
  <c r="W29" i="17"/>
  <c r="W30" i="17"/>
  <c r="W31" i="17"/>
  <c r="W32" i="17"/>
  <c r="W33" i="17"/>
  <c r="W34" i="17"/>
  <c r="W35" i="17"/>
  <c r="W36" i="17"/>
  <c r="W37" i="17"/>
  <c r="W38" i="17"/>
  <c r="W39" i="17"/>
  <c r="W40" i="17"/>
  <c r="W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24" i="17"/>
  <c r="K48" i="10"/>
  <c r="J48" i="10"/>
  <c r="I48" i="10"/>
  <c r="K47" i="10"/>
  <c r="J47" i="10"/>
  <c r="I47" i="10"/>
  <c r="K46" i="10"/>
  <c r="J46" i="10"/>
  <c r="I46" i="10"/>
  <c r="K45" i="10"/>
  <c r="J45" i="10"/>
  <c r="I45" i="10"/>
  <c r="K43" i="10"/>
  <c r="J43" i="10"/>
  <c r="I43" i="10"/>
  <c r="K42" i="10"/>
  <c r="J42" i="10"/>
  <c r="I42" i="10"/>
  <c r="K41" i="10"/>
  <c r="J41" i="10"/>
  <c r="I41" i="10"/>
  <c r="K37" i="10"/>
  <c r="J37" i="10"/>
  <c r="I37" i="10"/>
  <c r="K36" i="10"/>
  <c r="J36" i="10"/>
  <c r="I36" i="10"/>
  <c r="K35" i="10"/>
  <c r="J35" i="10"/>
  <c r="I35" i="10"/>
  <c r="K34" i="10"/>
  <c r="J34" i="10"/>
  <c r="I34" i="10"/>
  <c r="K33" i="10"/>
  <c r="J33" i="10"/>
  <c r="I33" i="10"/>
  <c r="K32" i="10"/>
  <c r="J32" i="10"/>
  <c r="I32" i="10"/>
  <c r="K31" i="10"/>
  <c r="J31" i="10"/>
  <c r="I31" i="10"/>
  <c r="C13" i="10"/>
  <c r="C14" i="10"/>
  <c r="C15" i="10"/>
  <c r="C12" i="10"/>
  <c r="C20" i="10"/>
  <c r="C21" i="10"/>
  <c r="C22" i="10"/>
  <c r="C23" i="10"/>
  <c r="C24" i="10"/>
  <c r="C25" i="10"/>
  <c r="C19" i="10"/>
  <c r="J13" i="10"/>
  <c r="J14" i="10"/>
  <c r="J15" i="10"/>
  <c r="J12" i="10"/>
  <c r="J21" i="10"/>
  <c r="J20" i="10"/>
  <c r="J19" i="10"/>
  <c r="F13" i="10"/>
  <c r="F14" i="10"/>
  <c r="F15" i="10"/>
  <c r="F12" i="10"/>
  <c r="F20" i="10"/>
  <c r="F21" i="10"/>
  <c r="F22" i="10"/>
  <c r="F23" i="10"/>
  <c r="F24" i="10"/>
  <c r="F25" i="10"/>
  <c r="F19" i="10"/>
  <c r="E12" i="10" l="1"/>
  <c r="E13" i="10"/>
  <c r="E14" i="10"/>
  <c r="E15" i="10"/>
  <c r="E11" i="10"/>
  <c r="K48" i="8"/>
  <c r="J48" i="8"/>
  <c r="I48" i="8"/>
  <c r="K47" i="8"/>
  <c r="J47" i="8"/>
  <c r="I47" i="8"/>
  <c r="K46" i="8"/>
  <c r="J46" i="8"/>
  <c r="I46" i="8"/>
  <c r="K45" i="8"/>
  <c r="J45" i="8"/>
  <c r="I45" i="8"/>
  <c r="K43" i="8"/>
  <c r="J43" i="8"/>
  <c r="I43" i="8"/>
  <c r="K42" i="8"/>
  <c r="J42" i="8"/>
  <c r="I42" i="8"/>
  <c r="I41" i="8"/>
  <c r="K37" i="8"/>
  <c r="J37" i="8"/>
  <c r="I37" i="8"/>
  <c r="K36" i="8"/>
  <c r="J36" i="8"/>
  <c r="I36" i="8"/>
  <c r="K35" i="8"/>
  <c r="J35" i="8"/>
  <c r="I35" i="8"/>
  <c r="K34" i="8"/>
  <c r="J34" i="8"/>
  <c r="I34" i="8"/>
  <c r="K33" i="8"/>
  <c r="J33" i="8"/>
  <c r="I33" i="8"/>
  <c r="K32" i="8"/>
  <c r="J32" i="8"/>
  <c r="I32" i="8"/>
  <c r="K31" i="8"/>
  <c r="J31" i="8"/>
  <c r="I31" i="8"/>
  <c r="C20" i="8"/>
  <c r="C21" i="8"/>
  <c r="C22" i="8"/>
  <c r="C23" i="8"/>
  <c r="C24" i="8"/>
  <c r="C25" i="8"/>
  <c r="C19" i="8"/>
  <c r="C13" i="8"/>
  <c r="C14" i="8"/>
  <c r="C15" i="8"/>
  <c r="C12" i="8"/>
  <c r="J13" i="8"/>
  <c r="J14" i="8"/>
  <c r="J15" i="8"/>
  <c r="J12" i="8"/>
  <c r="J20" i="8"/>
  <c r="J21" i="8"/>
  <c r="J19" i="8"/>
  <c r="F13" i="8"/>
  <c r="F14" i="8"/>
  <c r="F15" i="8"/>
  <c r="F12" i="8"/>
  <c r="F20" i="8"/>
  <c r="F21" i="8"/>
  <c r="F22" i="8"/>
  <c r="F23" i="8"/>
  <c r="F24" i="8"/>
  <c r="F25" i="8"/>
  <c r="F19" i="8"/>
  <c r="E13" i="8"/>
  <c r="E14" i="8"/>
  <c r="E15" i="8"/>
  <c r="E12" i="8"/>
  <c r="E11" i="8"/>
  <c r="K43" i="1"/>
  <c r="J43" i="1"/>
  <c r="I43" i="1"/>
  <c r="K37" i="1"/>
  <c r="K37" i="13" s="1"/>
  <c r="J37" i="1"/>
  <c r="J37" i="13" s="1"/>
  <c r="I37" i="1"/>
  <c r="K33" i="1"/>
  <c r="J33" i="1"/>
  <c r="J33" i="13" s="1"/>
  <c r="I33" i="1"/>
  <c r="K37" i="6"/>
  <c r="J37" i="6"/>
  <c r="I37" i="6"/>
  <c r="K33" i="6"/>
  <c r="J33" i="6"/>
  <c r="I33" i="6"/>
  <c r="K43" i="6"/>
  <c r="J43" i="6"/>
  <c r="I43" i="6"/>
  <c r="K48" i="6"/>
  <c r="I48" i="6"/>
  <c r="K47" i="6"/>
  <c r="J47" i="6"/>
  <c r="I47" i="6"/>
  <c r="K46" i="6"/>
  <c r="J46" i="6"/>
  <c r="I46" i="6"/>
  <c r="K45" i="6"/>
  <c r="J45" i="6"/>
  <c r="I45" i="6"/>
  <c r="K42" i="6"/>
  <c r="J42" i="6"/>
  <c r="I42" i="6"/>
  <c r="K41" i="6"/>
  <c r="J41" i="6"/>
  <c r="I41" i="6"/>
  <c r="K36" i="6"/>
  <c r="J36" i="6"/>
  <c r="I36" i="6"/>
  <c r="K35" i="6"/>
  <c r="J35" i="6"/>
  <c r="I35" i="6"/>
  <c r="I34" i="6"/>
  <c r="J34" i="6"/>
  <c r="K32" i="6"/>
  <c r="I32" i="6"/>
  <c r="K34" i="6"/>
  <c r="J32" i="6"/>
  <c r="K31" i="6"/>
  <c r="J31" i="6"/>
  <c r="I31" i="6"/>
  <c r="C15" i="6"/>
  <c r="C14" i="6"/>
  <c r="C13" i="6"/>
  <c r="C12" i="6"/>
  <c r="C25" i="6"/>
  <c r="C24" i="6"/>
  <c r="C23" i="6"/>
  <c r="C22" i="6"/>
  <c r="C21" i="6"/>
  <c r="C20" i="6"/>
  <c r="C19" i="6"/>
  <c r="J15" i="6"/>
  <c r="J14" i="6"/>
  <c r="J13" i="6"/>
  <c r="J12" i="6"/>
  <c r="J21" i="6"/>
  <c r="J20" i="6"/>
  <c r="J19" i="6"/>
  <c r="F15" i="6"/>
  <c r="F14" i="6"/>
  <c r="F13" i="6"/>
  <c r="F12" i="6"/>
  <c r="F20" i="6"/>
  <c r="F21" i="6"/>
  <c r="F22" i="6"/>
  <c r="F23" i="6"/>
  <c r="F24" i="6"/>
  <c r="F25" i="6"/>
  <c r="F19" i="6"/>
  <c r="E12" i="6"/>
  <c r="E13" i="6"/>
  <c r="E14" i="6"/>
  <c r="E15" i="6"/>
  <c r="E11" i="6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47" i="7"/>
  <c r="C47" i="9"/>
  <c r="C47" i="5"/>
  <c r="AC25" i="17"/>
  <c r="AC26" i="17"/>
  <c r="AC27" i="17"/>
  <c r="AC28" i="17"/>
  <c r="AC29" i="17"/>
  <c r="AC30" i="17"/>
  <c r="AC31" i="17"/>
  <c r="AC32" i="17"/>
  <c r="AC33" i="17"/>
  <c r="AC34" i="17"/>
  <c r="AC35" i="17"/>
  <c r="AC36" i="17"/>
  <c r="AC37" i="17"/>
  <c r="AC38" i="17"/>
  <c r="AC39" i="17"/>
  <c r="AC40" i="17"/>
  <c r="AC24" i="17"/>
  <c r="AA60" i="17"/>
  <c r="AA59" i="17"/>
  <c r="W54" i="17"/>
  <c r="W52" i="17"/>
  <c r="AA46" i="17"/>
  <c r="AA45" i="17"/>
  <c r="AA44" i="17"/>
  <c r="AA43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24" i="17"/>
  <c r="J25" i="6" l="1"/>
  <c r="J24" i="6"/>
  <c r="J23" i="6"/>
  <c r="J22" i="6"/>
  <c r="J25" i="8"/>
  <c r="J24" i="8"/>
  <c r="J23" i="8"/>
  <c r="J22" i="8"/>
  <c r="J25" i="10"/>
  <c r="J24" i="10"/>
  <c r="J23" i="10"/>
  <c r="J22" i="10"/>
  <c r="K33" i="13"/>
  <c r="E17" i="10"/>
  <c r="E17" i="8"/>
  <c r="E17" i="6"/>
  <c r="Q54" i="17"/>
  <c r="Q52" i="17"/>
  <c r="AA17" i="17"/>
  <c r="AA18" i="17"/>
  <c r="AA19" i="17"/>
  <c r="AA20" i="17"/>
  <c r="AA16" i="17"/>
  <c r="W60" i="17"/>
  <c r="U60" i="17"/>
  <c r="U59" i="17"/>
  <c r="U46" i="17"/>
  <c r="U45" i="17"/>
  <c r="U44" i="17"/>
  <c r="U43" i="17"/>
  <c r="W45" i="17"/>
  <c r="W44" i="17"/>
  <c r="W43" i="17"/>
  <c r="U25" i="17"/>
  <c r="U26" i="17"/>
  <c r="U27" i="17"/>
  <c r="U28" i="17"/>
  <c r="U29" i="17"/>
  <c r="U30" i="17"/>
  <c r="U31" i="17"/>
  <c r="U32" i="17"/>
  <c r="U33" i="17"/>
  <c r="U34" i="17"/>
  <c r="U35" i="17"/>
  <c r="U36" i="17"/>
  <c r="U37" i="17"/>
  <c r="U38" i="17"/>
  <c r="U39" i="17"/>
  <c r="U40" i="17"/>
  <c r="U24" i="17"/>
  <c r="U17" i="17"/>
  <c r="U18" i="17"/>
  <c r="U19" i="17"/>
  <c r="U20" i="17"/>
  <c r="U16" i="17"/>
  <c r="X8" i="17"/>
  <c r="X9" i="17"/>
  <c r="X10" i="17"/>
  <c r="X11" i="17"/>
  <c r="X7" i="17"/>
  <c r="Q60" i="17"/>
  <c r="O60" i="17"/>
  <c r="O59" i="17"/>
  <c r="Q45" i="17"/>
  <c r="Q44" i="17"/>
  <c r="Q43" i="17"/>
  <c r="O46" i="17"/>
  <c r="O45" i="17"/>
  <c r="O44" i="17"/>
  <c r="O43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24" i="17"/>
  <c r="O20" i="17"/>
  <c r="O17" i="17"/>
  <c r="O18" i="17"/>
  <c r="O19" i="17"/>
  <c r="O16" i="17"/>
  <c r="R8" i="17"/>
  <c r="R9" i="17"/>
  <c r="R10" i="17"/>
  <c r="R11" i="17"/>
  <c r="R7" i="17"/>
  <c r="K45" i="17"/>
  <c r="K44" i="17"/>
  <c r="K43" i="17"/>
  <c r="K60" i="17"/>
  <c r="E60" i="17"/>
  <c r="E45" i="17"/>
  <c r="E44" i="17"/>
  <c r="I60" i="17"/>
  <c r="I59" i="17"/>
  <c r="K54" i="17"/>
  <c r="K52" i="17"/>
  <c r="I44" i="17"/>
  <c r="I45" i="17"/>
  <c r="I46" i="17"/>
  <c r="I43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24" i="17"/>
  <c r="I17" i="17"/>
  <c r="I18" i="17"/>
  <c r="I19" i="17"/>
  <c r="I20" i="17"/>
  <c r="I16" i="17"/>
  <c r="L8" i="17"/>
  <c r="L9" i="17"/>
  <c r="L10" i="17"/>
  <c r="L11" i="17"/>
  <c r="L7" i="17"/>
  <c r="K48" i="1"/>
  <c r="J48" i="1"/>
  <c r="I48" i="1"/>
  <c r="K47" i="1"/>
  <c r="J47" i="1"/>
  <c r="I47" i="1"/>
  <c r="K46" i="1"/>
  <c r="J46" i="1"/>
  <c r="I46" i="1"/>
  <c r="K45" i="1"/>
  <c r="J45" i="1"/>
  <c r="I45" i="1"/>
  <c r="K42" i="1"/>
  <c r="J42" i="1"/>
  <c r="I42" i="1"/>
  <c r="J41" i="1"/>
  <c r="I41" i="1"/>
  <c r="K36" i="1"/>
  <c r="K36" i="13" s="1"/>
  <c r="J36" i="1"/>
  <c r="J36" i="13" s="1"/>
  <c r="I36" i="1"/>
  <c r="K35" i="1"/>
  <c r="K35" i="13" s="1"/>
  <c r="J35" i="1"/>
  <c r="J35" i="13" s="1"/>
  <c r="I35" i="1"/>
  <c r="K34" i="1"/>
  <c r="K34" i="13" s="1"/>
  <c r="J34" i="1"/>
  <c r="J34" i="13" s="1"/>
  <c r="I34" i="1"/>
  <c r="K32" i="1"/>
  <c r="K32" i="13" s="1"/>
  <c r="J32" i="1"/>
  <c r="J32" i="13" s="1"/>
  <c r="I32" i="1"/>
  <c r="K31" i="1"/>
  <c r="K31" i="13" s="1"/>
  <c r="J31" i="1"/>
  <c r="I31" i="1"/>
  <c r="J15" i="1"/>
  <c r="J14" i="1"/>
  <c r="J13" i="1"/>
  <c r="J12" i="1"/>
  <c r="J21" i="1"/>
  <c r="J20" i="1"/>
  <c r="J19" i="1"/>
  <c r="F15" i="1"/>
  <c r="F14" i="1"/>
  <c r="F13" i="1"/>
  <c r="F12" i="1"/>
  <c r="C15" i="1"/>
  <c r="C14" i="1"/>
  <c r="C13" i="1"/>
  <c r="C12" i="1"/>
  <c r="C25" i="1"/>
  <c r="C24" i="1"/>
  <c r="C23" i="1"/>
  <c r="C22" i="1"/>
  <c r="C21" i="1"/>
  <c r="C20" i="1"/>
  <c r="C19" i="1"/>
  <c r="D35" i="6" l="1"/>
  <c r="D30" i="6"/>
  <c r="D33" i="6"/>
  <c r="D32" i="6"/>
  <c r="D36" i="6"/>
  <c r="D31" i="6"/>
  <c r="D37" i="6"/>
  <c r="D34" i="6"/>
  <c r="F44" i="6"/>
  <c r="M44" i="6"/>
  <c r="F44" i="8"/>
  <c r="M44" i="8"/>
  <c r="F44" i="10"/>
  <c r="M44" i="10"/>
  <c r="L13" i="17"/>
  <c r="R13" i="17"/>
  <c r="X13" i="17"/>
  <c r="AC60" i="17"/>
  <c r="E15" i="1"/>
  <c r="E14" i="1"/>
  <c r="E13" i="1"/>
  <c r="E12" i="1"/>
  <c r="E11" i="1"/>
  <c r="O44" i="8" l="1"/>
  <c r="G44" i="8"/>
  <c r="P44" i="8" s="1"/>
  <c r="O44" i="10"/>
  <c r="G44" i="10"/>
  <c r="P44" i="10" s="1"/>
  <c r="O44" i="6"/>
  <c r="G44" i="6"/>
  <c r="P44" i="6" s="1"/>
  <c r="J23" i="1"/>
  <c r="J24" i="1"/>
  <c r="J25" i="1"/>
  <c r="J22" i="1"/>
  <c r="E17" i="1"/>
  <c r="AL35" i="15"/>
  <c r="AK35" i="15"/>
  <c r="AJ35" i="15"/>
  <c r="AM34" i="15"/>
  <c r="AM33" i="15"/>
  <c r="AM32" i="15"/>
  <c r="AM31" i="15"/>
  <c r="AM30" i="15"/>
  <c r="AM29" i="15"/>
  <c r="AM28" i="15"/>
  <c r="AL27" i="15"/>
  <c r="AK27" i="15"/>
  <c r="AJ27" i="15"/>
  <c r="AM26" i="15"/>
  <c r="AM25" i="15"/>
  <c r="AM24" i="15"/>
  <c r="AM23" i="15"/>
  <c r="AM22" i="15"/>
  <c r="AM21" i="15"/>
  <c r="AM20" i="15"/>
  <c r="AL19" i="15"/>
  <c r="AK19" i="15"/>
  <c r="AJ19" i="15"/>
  <c r="AM18" i="15"/>
  <c r="AM17" i="15"/>
  <c r="AM16" i="15"/>
  <c r="AM15" i="15"/>
  <c r="AM14" i="15"/>
  <c r="AM13" i="15"/>
  <c r="AM12" i="15"/>
  <c r="AL11" i="15"/>
  <c r="AK11" i="15"/>
  <c r="AJ11" i="15"/>
  <c r="AM10" i="15"/>
  <c r="AM9" i="15"/>
  <c r="AM8" i="15"/>
  <c r="AM7" i="15"/>
  <c r="AM6" i="15"/>
  <c r="AN5" i="15"/>
  <c r="AN6" i="15" s="1"/>
  <c r="AN7" i="15" s="1"/>
  <c r="AN8" i="15" s="1"/>
  <c r="AN9" i="15" s="1"/>
  <c r="AN10" i="15" s="1"/>
  <c r="AN12" i="15" s="1"/>
  <c r="AN13" i="15" s="1"/>
  <c r="AN14" i="15" s="1"/>
  <c r="AN15" i="15" s="1"/>
  <c r="AN16" i="15" s="1"/>
  <c r="AN17" i="15" s="1"/>
  <c r="AN18" i="15" s="1"/>
  <c r="AN20" i="15" s="1"/>
  <c r="AN21" i="15" s="1"/>
  <c r="AN22" i="15" s="1"/>
  <c r="AN23" i="15" s="1"/>
  <c r="AN24" i="15" s="1"/>
  <c r="AN25" i="15" s="1"/>
  <c r="AN26" i="15" s="1"/>
  <c r="AM5" i="15"/>
  <c r="AM4" i="15"/>
  <c r="F44" i="1" l="1"/>
  <c r="M44" i="1"/>
  <c r="AM11" i="15"/>
  <c r="AM27" i="15"/>
  <c r="AM19" i="15"/>
  <c r="AM35" i="15"/>
  <c r="AN28" i="15"/>
  <c r="AN29" i="15" s="1"/>
  <c r="AN30" i="15" s="1"/>
  <c r="AN31" i="15" s="1"/>
  <c r="AN32" i="15" s="1"/>
  <c r="AN33" i="15" s="1"/>
  <c r="AN34" i="15" s="1"/>
  <c r="AN36" i="15" s="1"/>
  <c r="AC41" i="17"/>
  <c r="W41" i="17"/>
  <c r="Q41" i="17"/>
  <c r="K41" i="17"/>
  <c r="G44" i="1" l="1"/>
  <c r="P44" i="1" s="1"/>
  <c r="O44" i="1"/>
  <c r="AN37" i="15"/>
  <c r="AN38" i="15" s="1"/>
  <c r="AN39" i="15" s="1"/>
  <c r="AN40" i="15" s="1"/>
  <c r="AN41" i="15" s="1"/>
  <c r="AN42" i="15" s="1"/>
  <c r="AN44" i="15" s="1"/>
  <c r="AN45" i="15" s="1"/>
  <c r="AN46" i="15" s="1"/>
  <c r="AN47" i="15" s="1"/>
  <c r="AN48" i="15" s="1"/>
  <c r="AN49" i="15" s="1"/>
  <c r="AN50" i="15" s="1"/>
  <c r="AN52" i="15" s="1"/>
  <c r="AN53" i="15" s="1"/>
  <c r="AN54" i="15" s="1"/>
  <c r="AN55" i="15" s="1"/>
  <c r="AN56" i="15" s="1"/>
  <c r="AN57" i="15" s="1"/>
  <c r="AN58" i="15" s="1"/>
  <c r="AN60" i="15" s="1"/>
  <c r="AN61" i="15" s="1"/>
  <c r="AN62" i="15" s="1"/>
  <c r="AN63" i="15" s="1"/>
  <c r="AN64" i="15" s="1"/>
  <c r="AN65" i="15" s="1"/>
  <c r="AN66" i="15" s="1"/>
  <c r="AN68" i="15" s="1"/>
  <c r="AN69" i="15" s="1"/>
  <c r="AN70" i="15" s="1"/>
  <c r="AN71" i="15" s="1"/>
  <c r="AN72" i="15" s="1"/>
  <c r="AN73" i="15" s="1"/>
  <c r="AN74" i="15" s="1"/>
  <c r="AN76" i="15" s="1"/>
  <c r="AN77" i="15" s="1"/>
  <c r="AN78" i="15" s="1"/>
  <c r="AN79" i="15" s="1"/>
  <c r="AN80" i="15" s="1"/>
  <c r="AN81" i="15" s="1"/>
  <c r="AN82" i="15" s="1"/>
  <c r="AN84" i="15" s="1"/>
  <c r="AN85" i="15" s="1"/>
  <c r="AN86" i="15" s="1"/>
  <c r="AN87" i="15" s="1"/>
  <c r="AN88" i="15" s="1"/>
  <c r="AN89" i="15" s="1"/>
  <c r="AN90" i="15" s="1"/>
  <c r="AN92" i="15" s="1"/>
  <c r="AN93" i="15" s="1"/>
  <c r="AN94" i="15" s="1"/>
  <c r="AN95" i="15" s="1"/>
  <c r="AN96" i="15" s="1"/>
  <c r="AN97" i="15" s="1"/>
  <c r="AN98" i="15" s="1"/>
  <c r="AN100" i="15" s="1"/>
  <c r="AN101" i="15" s="1"/>
  <c r="AN102" i="15" s="1"/>
  <c r="AN103" i="15" s="1"/>
  <c r="AN104" i="15" s="1"/>
  <c r="AN105" i="15" s="1"/>
  <c r="AN106" i="15" s="1"/>
  <c r="AN108" i="15" s="1"/>
  <c r="V17" i="17"/>
  <c r="P17" i="17"/>
  <c r="V18" i="17"/>
  <c r="V16" i="17"/>
  <c r="P18" i="17"/>
  <c r="V20" i="17"/>
  <c r="V19" i="17"/>
  <c r="P16" i="17"/>
  <c r="P20" i="17"/>
  <c r="P19" i="17"/>
  <c r="AN109" i="15" l="1"/>
  <c r="AN110" i="15" s="1"/>
  <c r="AN111" i="15" s="1"/>
  <c r="AN112" i="15" s="1"/>
  <c r="AN113" i="15" s="1"/>
  <c r="AN114" i="15" s="1"/>
  <c r="AN116" i="15" s="1"/>
  <c r="AN117" i="15" s="1"/>
  <c r="AN118" i="15" s="1"/>
  <c r="AN119" i="15" s="1"/>
  <c r="AN120" i="15" s="1"/>
  <c r="AN121" i="15" s="1"/>
  <c r="AN122" i="15" s="1"/>
  <c r="AN124" i="15" s="1"/>
  <c r="AN125" i="15" s="1"/>
  <c r="AN126" i="15" s="1"/>
  <c r="AN127" i="15" s="1"/>
  <c r="AN128" i="15" s="1"/>
  <c r="AN129" i="15" s="1"/>
  <c r="AN130" i="15" s="1"/>
  <c r="AN132" i="15" s="1"/>
  <c r="AN133" i="15" s="1"/>
  <c r="AN134" i="15" s="1"/>
  <c r="AN135" i="15" s="1"/>
  <c r="AN136" i="15" s="1"/>
  <c r="AN137" i="15" s="1"/>
  <c r="AN138" i="15" s="1"/>
  <c r="AN140" i="15" s="1"/>
  <c r="X52" i="17"/>
  <c r="X29" i="17"/>
  <c r="V32" i="17"/>
  <c r="Y32" i="17" s="1"/>
  <c r="X45" i="17"/>
  <c r="V44" i="17"/>
  <c r="X26" i="17"/>
  <c r="X30" i="17"/>
  <c r="X34" i="17"/>
  <c r="X38" i="17"/>
  <c r="V25" i="17"/>
  <c r="V29" i="17"/>
  <c r="V33" i="17"/>
  <c r="Y33" i="17" s="1"/>
  <c r="V37" i="17"/>
  <c r="Y37" i="17" s="1"/>
  <c r="V24" i="17"/>
  <c r="X44" i="17"/>
  <c r="V43" i="17"/>
  <c r="X27" i="17"/>
  <c r="X31" i="17"/>
  <c r="X35" i="17"/>
  <c r="X39" i="17"/>
  <c r="V26" i="17"/>
  <c r="V34" i="17"/>
  <c r="Y34" i="17" s="1"/>
  <c r="V38" i="17"/>
  <c r="Y38" i="17" s="1"/>
  <c r="X54" i="17"/>
  <c r="V30" i="17"/>
  <c r="V46" i="17"/>
  <c r="X41" i="17"/>
  <c r="X28" i="17"/>
  <c r="X32" i="17"/>
  <c r="X36" i="17"/>
  <c r="X40" i="17"/>
  <c r="V27" i="17"/>
  <c r="V31" i="17"/>
  <c r="Y31" i="17" s="1"/>
  <c r="V35" i="17"/>
  <c r="Y35" i="17" s="1"/>
  <c r="V39" i="17"/>
  <c r="Y39" i="17" s="1"/>
  <c r="V45" i="17"/>
  <c r="X25" i="17"/>
  <c r="X33" i="17"/>
  <c r="X37" i="17"/>
  <c r="X24" i="17"/>
  <c r="V28" i="17"/>
  <c r="V36" i="17"/>
  <c r="Y36" i="17" s="1"/>
  <c r="V40" i="17"/>
  <c r="X43" i="17"/>
  <c r="R32" i="17"/>
  <c r="P27" i="17"/>
  <c r="R52" i="17"/>
  <c r="P44" i="17"/>
  <c r="R25" i="17"/>
  <c r="R29" i="17"/>
  <c r="R33" i="17"/>
  <c r="R37" i="17"/>
  <c r="R24" i="17"/>
  <c r="P28" i="17"/>
  <c r="P32" i="17"/>
  <c r="S32" i="17" s="1"/>
  <c r="P36" i="17"/>
  <c r="S36" i="17" s="1"/>
  <c r="P40" i="17"/>
  <c r="R45" i="17"/>
  <c r="P43" i="17"/>
  <c r="R26" i="17"/>
  <c r="R30" i="17"/>
  <c r="R34" i="17"/>
  <c r="R38" i="17"/>
  <c r="P29" i="17"/>
  <c r="P33" i="17"/>
  <c r="S33" i="17" s="1"/>
  <c r="P37" i="17"/>
  <c r="S37" i="17" s="1"/>
  <c r="P25" i="17"/>
  <c r="P24" i="17"/>
  <c r="R54" i="17"/>
  <c r="R44" i="17"/>
  <c r="P46" i="17"/>
  <c r="R27" i="17"/>
  <c r="R31" i="17"/>
  <c r="R35" i="17"/>
  <c r="R39" i="17"/>
  <c r="P26" i="17"/>
  <c r="P30" i="17"/>
  <c r="P34" i="17"/>
  <c r="S34" i="17" s="1"/>
  <c r="P38" i="17"/>
  <c r="S38" i="17" s="1"/>
  <c r="P45" i="17"/>
  <c r="R41" i="17"/>
  <c r="R28" i="17"/>
  <c r="R36" i="17"/>
  <c r="R40" i="17"/>
  <c r="P31" i="17"/>
  <c r="S31" i="17" s="1"/>
  <c r="P35" i="17"/>
  <c r="S35" i="17" s="1"/>
  <c r="P39" i="17"/>
  <c r="S39" i="17" s="1"/>
  <c r="R43" i="17"/>
  <c r="X60" i="17"/>
  <c r="V60" i="17"/>
  <c r="Y60" i="17" s="1"/>
  <c r="V59" i="17"/>
  <c r="V21" i="17"/>
  <c r="U21" i="17" s="1"/>
  <c r="R60" i="17"/>
  <c r="P60" i="17"/>
  <c r="S60" i="17" s="1"/>
  <c r="P59" i="17"/>
  <c r="P21" i="17"/>
  <c r="O21" i="17" s="1"/>
  <c r="S35" i="15"/>
  <c r="Q35" i="15"/>
  <c r="S27" i="15"/>
  <c r="Q27" i="15"/>
  <c r="S19" i="15"/>
  <c r="Q19" i="15"/>
  <c r="S11" i="15"/>
  <c r="Q11" i="15"/>
  <c r="I8" i="4"/>
  <c r="I9" i="4"/>
  <c r="I10" i="4"/>
  <c r="I11" i="4"/>
  <c r="I12" i="4"/>
  <c r="I13" i="4"/>
  <c r="I14" i="4"/>
  <c r="C15" i="4"/>
  <c r="D15" i="4"/>
  <c r="E15" i="4"/>
  <c r="F15" i="4"/>
  <c r="G15" i="4"/>
  <c r="H15" i="4"/>
  <c r="G73" i="4"/>
  <c r="D74" i="4"/>
  <c r="D76" i="4"/>
  <c r="G85" i="4"/>
  <c r="T127" i="22"/>
  <c r="T128" i="22"/>
  <c r="T129" i="22"/>
  <c r="T130" i="22"/>
  <c r="T131" i="22"/>
  <c r="T132" i="22"/>
  <c r="T133" i="22"/>
  <c r="T134" i="22"/>
  <c r="T135" i="22"/>
  <c r="T136" i="22"/>
  <c r="T137" i="22"/>
  <c r="T138" i="22"/>
  <c r="T126" i="22"/>
  <c r="N127" i="22"/>
  <c r="N128" i="22"/>
  <c r="N129" i="22"/>
  <c r="N130" i="22"/>
  <c r="N131" i="22"/>
  <c r="N132" i="22"/>
  <c r="N133" i="22"/>
  <c r="N134" i="22"/>
  <c r="N135" i="22"/>
  <c r="N136" i="22"/>
  <c r="N137" i="22"/>
  <c r="N138" i="22"/>
  <c r="N126" i="22"/>
  <c r="I127" i="22"/>
  <c r="I128" i="22"/>
  <c r="I129" i="22"/>
  <c r="I130" i="22"/>
  <c r="I131" i="22"/>
  <c r="I132" i="22"/>
  <c r="I133" i="22"/>
  <c r="I134" i="22"/>
  <c r="I135" i="22"/>
  <c r="I136" i="22"/>
  <c r="I137" i="22"/>
  <c r="I138" i="22"/>
  <c r="I126" i="22"/>
  <c r="T114" i="22"/>
  <c r="T115" i="22"/>
  <c r="T116" i="22"/>
  <c r="T117" i="22"/>
  <c r="T118" i="22"/>
  <c r="T119" i="22"/>
  <c r="T120" i="22"/>
  <c r="T121" i="22"/>
  <c r="T122" i="22"/>
  <c r="T123" i="22"/>
  <c r="T124" i="22"/>
  <c r="T113" i="22"/>
  <c r="N114" i="22"/>
  <c r="N115" i="22"/>
  <c r="N116" i="22"/>
  <c r="N117" i="22"/>
  <c r="N118" i="22"/>
  <c r="N119" i="22"/>
  <c r="N120" i="22"/>
  <c r="N121" i="22"/>
  <c r="N122" i="22"/>
  <c r="N123" i="22"/>
  <c r="N124" i="22"/>
  <c r="N113" i="22"/>
  <c r="I114" i="22"/>
  <c r="I115" i="22"/>
  <c r="I116" i="22"/>
  <c r="I117" i="22"/>
  <c r="I118" i="22"/>
  <c r="I119" i="22"/>
  <c r="I120" i="22"/>
  <c r="I121" i="22"/>
  <c r="I122" i="22"/>
  <c r="I123" i="22"/>
  <c r="I124" i="22"/>
  <c r="I113" i="22"/>
  <c r="T96" i="22"/>
  <c r="T97" i="22"/>
  <c r="T98" i="22"/>
  <c r="T99" i="22"/>
  <c r="T100" i="22"/>
  <c r="T101" i="22"/>
  <c r="T102" i="22"/>
  <c r="T103" i="22"/>
  <c r="T104" i="22"/>
  <c r="T105" i="22"/>
  <c r="T106" i="22"/>
  <c r="T107" i="22"/>
  <c r="T108" i="22"/>
  <c r="T109" i="22"/>
  <c r="T110" i="22"/>
  <c r="T111" i="22"/>
  <c r="T95" i="22"/>
  <c r="N96" i="22"/>
  <c r="N97" i="22"/>
  <c r="N98" i="22"/>
  <c r="N99" i="22"/>
  <c r="N100" i="22"/>
  <c r="N101" i="22"/>
  <c r="N102" i="22"/>
  <c r="N103" i="22"/>
  <c r="N104" i="22"/>
  <c r="N105" i="22"/>
  <c r="N106" i="22"/>
  <c r="N107" i="22"/>
  <c r="N108" i="22"/>
  <c r="N109" i="22"/>
  <c r="N110" i="22"/>
  <c r="N111" i="22"/>
  <c r="N95" i="22"/>
  <c r="I96" i="22"/>
  <c r="I97" i="22"/>
  <c r="I98" i="22"/>
  <c r="I99" i="22"/>
  <c r="I100" i="22"/>
  <c r="I101" i="22"/>
  <c r="I102" i="22"/>
  <c r="I103" i="22"/>
  <c r="I104" i="22"/>
  <c r="I105" i="22"/>
  <c r="I106" i="22"/>
  <c r="I107" i="22"/>
  <c r="AC43" i="17" s="1"/>
  <c r="I108" i="22"/>
  <c r="AC44" i="17" s="1"/>
  <c r="I109" i="22"/>
  <c r="AC45" i="17" s="1"/>
  <c r="I110" i="22"/>
  <c r="I111" i="22"/>
  <c r="I95" i="22"/>
  <c r="T35" i="22"/>
  <c r="T36" i="22"/>
  <c r="T37" i="22"/>
  <c r="T38" i="22"/>
  <c r="T39" i="22"/>
  <c r="T40" i="22"/>
  <c r="T41" i="22"/>
  <c r="T42" i="22"/>
  <c r="T43" i="22"/>
  <c r="T44" i="22"/>
  <c r="T45" i="22"/>
  <c r="T46" i="22"/>
  <c r="T47" i="22"/>
  <c r="T48" i="22"/>
  <c r="T49" i="22"/>
  <c r="T50" i="22"/>
  <c r="T51" i="22"/>
  <c r="T52" i="22"/>
  <c r="T53" i="22"/>
  <c r="T54" i="22"/>
  <c r="T55" i="22"/>
  <c r="T56" i="22"/>
  <c r="T57" i="22"/>
  <c r="T58" i="22"/>
  <c r="T59" i="22"/>
  <c r="T60" i="22"/>
  <c r="T61" i="22"/>
  <c r="T62" i="22"/>
  <c r="T63" i="22"/>
  <c r="T64" i="22"/>
  <c r="T65" i="22"/>
  <c r="T66" i="22"/>
  <c r="T67" i="22"/>
  <c r="T68" i="22"/>
  <c r="T69" i="22"/>
  <c r="T70" i="22"/>
  <c r="T71" i="22"/>
  <c r="T72" i="22"/>
  <c r="T73" i="22"/>
  <c r="T74" i="22"/>
  <c r="T75" i="22"/>
  <c r="T76" i="22"/>
  <c r="T77" i="22"/>
  <c r="T78" i="22"/>
  <c r="T79" i="22"/>
  <c r="T80" i="22"/>
  <c r="T81" i="22"/>
  <c r="T82" i="22"/>
  <c r="T83" i="22"/>
  <c r="T84" i="22"/>
  <c r="T85" i="22"/>
  <c r="T86" i="22"/>
  <c r="T87" i="22"/>
  <c r="T88" i="22"/>
  <c r="T89" i="22"/>
  <c r="T90" i="22"/>
  <c r="T91" i="22"/>
  <c r="T92" i="22"/>
  <c r="T93" i="22"/>
  <c r="T34" i="22"/>
  <c r="N35" i="22"/>
  <c r="N36" i="22"/>
  <c r="N37" i="22"/>
  <c r="N38" i="22"/>
  <c r="N39" i="22"/>
  <c r="N40" i="22"/>
  <c r="N41" i="22"/>
  <c r="N42" i="22"/>
  <c r="N43" i="22"/>
  <c r="N44" i="22"/>
  <c r="N45" i="22"/>
  <c r="N46" i="22"/>
  <c r="N47" i="22"/>
  <c r="N48" i="22"/>
  <c r="N49" i="22"/>
  <c r="N50" i="22"/>
  <c r="N51" i="22"/>
  <c r="N52" i="22"/>
  <c r="N53" i="22"/>
  <c r="N54" i="22"/>
  <c r="N55" i="22"/>
  <c r="N56" i="22"/>
  <c r="N57" i="22"/>
  <c r="N58" i="22"/>
  <c r="N59" i="22"/>
  <c r="N60" i="22"/>
  <c r="N61" i="22"/>
  <c r="N62" i="22"/>
  <c r="N63" i="22"/>
  <c r="N64" i="22"/>
  <c r="N65" i="22"/>
  <c r="N66" i="22"/>
  <c r="N67" i="22"/>
  <c r="N68" i="22"/>
  <c r="N69" i="22"/>
  <c r="N70" i="22"/>
  <c r="N71" i="22"/>
  <c r="N72" i="22"/>
  <c r="N73" i="22"/>
  <c r="N74" i="22"/>
  <c r="N75" i="22"/>
  <c r="N76" i="22"/>
  <c r="N77" i="22"/>
  <c r="N78" i="22"/>
  <c r="N79" i="22"/>
  <c r="N80" i="22"/>
  <c r="N81" i="22"/>
  <c r="N82" i="22"/>
  <c r="N83" i="22"/>
  <c r="N84" i="22"/>
  <c r="N85" i="22"/>
  <c r="N86" i="22"/>
  <c r="N87" i="22"/>
  <c r="N88" i="22"/>
  <c r="N89" i="22"/>
  <c r="N90" i="22"/>
  <c r="N91" i="22"/>
  <c r="N92" i="22"/>
  <c r="N93" i="22"/>
  <c r="N34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I74" i="22"/>
  <c r="I75" i="22"/>
  <c r="I76" i="22"/>
  <c r="I77" i="22"/>
  <c r="I78" i="22"/>
  <c r="I79" i="22"/>
  <c r="I80" i="22"/>
  <c r="I81" i="22"/>
  <c r="I82" i="22"/>
  <c r="I83" i="22"/>
  <c r="I84" i="22"/>
  <c r="I85" i="22"/>
  <c r="I86" i="22"/>
  <c r="I87" i="22"/>
  <c r="I88" i="22"/>
  <c r="I89" i="22"/>
  <c r="I90" i="22"/>
  <c r="I91" i="22"/>
  <c r="I92" i="22"/>
  <c r="I93" i="22"/>
  <c r="I35" i="22"/>
  <c r="I36" i="22"/>
  <c r="I37" i="22"/>
  <c r="I34" i="22"/>
  <c r="I32" i="22"/>
  <c r="T17" i="22"/>
  <c r="T18" i="22"/>
  <c r="T19" i="22"/>
  <c r="T20" i="22"/>
  <c r="T21" i="22"/>
  <c r="T22" i="22"/>
  <c r="T23" i="22"/>
  <c r="T24" i="22"/>
  <c r="T25" i="22"/>
  <c r="T26" i="22"/>
  <c r="T27" i="22"/>
  <c r="T28" i="22"/>
  <c r="T29" i="22"/>
  <c r="T30" i="22"/>
  <c r="T31" i="22"/>
  <c r="T32" i="22"/>
  <c r="T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N30" i="22"/>
  <c r="N31" i="22"/>
  <c r="N32" i="22"/>
  <c r="N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16" i="22"/>
  <c r="T8" i="22"/>
  <c r="T9" i="22"/>
  <c r="T10" i="22"/>
  <c r="T11" i="22"/>
  <c r="T12" i="22"/>
  <c r="T13" i="22"/>
  <c r="T7" i="22"/>
  <c r="N8" i="22"/>
  <c r="N9" i="22"/>
  <c r="N10" i="22"/>
  <c r="N11" i="22"/>
  <c r="N12" i="22"/>
  <c r="N13" i="22"/>
  <c r="N7" i="22"/>
  <c r="I8" i="22"/>
  <c r="I9" i="22"/>
  <c r="I10" i="22"/>
  <c r="I11" i="22"/>
  <c r="I12" i="22"/>
  <c r="I13" i="22"/>
  <c r="J14" i="22"/>
  <c r="K14" i="22"/>
  <c r="L14" i="22"/>
  <c r="M14" i="22"/>
  <c r="O14" i="22"/>
  <c r="P14" i="22"/>
  <c r="Q14" i="22"/>
  <c r="R14" i="22"/>
  <c r="S14" i="22"/>
  <c r="U14" i="22"/>
  <c r="F14" i="22"/>
  <c r="G14" i="22"/>
  <c r="H14" i="22"/>
  <c r="E14" i="22"/>
  <c r="I15" i="4" l="1"/>
  <c r="F33" i="4" s="1"/>
  <c r="C33" i="4" s="1"/>
  <c r="AN141" i="15"/>
  <c r="AN142" i="15" s="1"/>
  <c r="AN143" i="15" s="1"/>
  <c r="AN144" i="15" s="1"/>
  <c r="AN145" i="15" s="1"/>
  <c r="AN146" i="15" s="1"/>
  <c r="AN148" i="15" s="1"/>
  <c r="AN149" i="15" s="1"/>
  <c r="AN150" i="15" s="1"/>
  <c r="AN151" i="15" s="1"/>
  <c r="AN152" i="15" s="1"/>
  <c r="AN153" i="15" s="1"/>
  <c r="AN154" i="15" s="1"/>
  <c r="AN156" i="15" s="1"/>
  <c r="AN157" i="15" s="1"/>
  <c r="AN158" i="15" s="1"/>
  <c r="AN159" i="15" s="1"/>
  <c r="AN160" i="15" s="1"/>
  <c r="AN161" i="15" s="1"/>
  <c r="AN162" i="15" s="1"/>
  <c r="AN164" i="15" s="1"/>
  <c r="AN165" i="15" s="1"/>
  <c r="AN166" i="15" s="1"/>
  <c r="AN167" i="15" s="1"/>
  <c r="AN168" i="15" s="1"/>
  <c r="AN169" i="15" s="1"/>
  <c r="AN170" i="15" s="1"/>
  <c r="AN172" i="15" s="1"/>
  <c r="AN173" i="15" s="1"/>
  <c r="AN174" i="15" s="1"/>
  <c r="AN175" i="15" s="1"/>
  <c r="AN176" i="15" s="1"/>
  <c r="AN177" i="15" s="1"/>
  <c r="AN178" i="15" s="1"/>
  <c r="AN180" i="15" s="1"/>
  <c r="AN181" i="15" s="1"/>
  <c r="AN182" i="15" s="1"/>
  <c r="AN183" i="15" s="1"/>
  <c r="AN184" i="15" s="1"/>
  <c r="AN185" i="15" s="1"/>
  <c r="AN186" i="15" s="1"/>
  <c r="AN188" i="15" s="1"/>
  <c r="AN189" i="15" s="1"/>
  <c r="AN190" i="15" s="1"/>
  <c r="AN191" i="15" s="1"/>
  <c r="AN192" i="15" s="1"/>
  <c r="AN193" i="15" s="1"/>
  <c r="AN194" i="15" s="1"/>
  <c r="AN196" i="15" s="1"/>
  <c r="AN197" i="15" s="1"/>
  <c r="AN198" i="15" s="1"/>
  <c r="AN199" i="15" s="1"/>
  <c r="AN200" i="15" s="1"/>
  <c r="AN201" i="15" s="1"/>
  <c r="AN202" i="15" s="1"/>
  <c r="AN204" i="15" s="1"/>
  <c r="AN205" i="15" s="1"/>
  <c r="AN206" i="15" s="1"/>
  <c r="AN207" i="15" s="1"/>
  <c r="AN208" i="15" s="1"/>
  <c r="AN209" i="15" s="1"/>
  <c r="AN210" i="15" s="1"/>
  <c r="AN212" i="15" s="1"/>
  <c r="D84" i="4"/>
  <c r="D51" i="21" s="1"/>
  <c r="E51" i="21" s="1"/>
  <c r="G51" i="21" s="1"/>
  <c r="AB61" i="17"/>
  <c r="AC61" i="17" s="1"/>
  <c r="AE61" i="17" s="1"/>
  <c r="D78" i="4"/>
  <c r="D45" i="21" s="1"/>
  <c r="E45" i="21" s="1"/>
  <c r="G45" i="21" s="1"/>
  <c r="AB55" i="17"/>
  <c r="AC55" i="17" s="1"/>
  <c r="AE55" i="17" s="1"/>
  <c r="D73" i="4"/>
  <c r="D40" i="21" s="1"/>
  <c r="E40" i="21" s="1"/>
  <c r="AB50" i="17"/>
  <c r="AC50" i="17" s="1"/>
  <c r="AE50" i="17" s="1"/>
  <c r="AA52" i="17"/>
  <c r="U52" i="17"/>
  <c r="V52" i="17" s="1"/>
  <c r="Y52" i="17" s="1"/>
  <c r="O52" i="17"/>
  <c r="P52" i="17" s="1"/>
  <c r="S52" i="17" s="1"/>
  <c r="I52" i="17"/>
  <c r="AA54" i="17"/>
  <c r="O54" i="17"/>
  <c r="P54" i="17" s="1"/>
  <c r="S54" i="17" s="1"/>
  <c r="I54" i="17"/>
  <c r="U54" i="17"/>
  <c r="V54" i="17" s="1"/>
  <c r="Y54" i="17" s="1"/>
  <c r="U31" i="22"/>
  <c r="U23" i="22"/>
  <c r="U136" i="22"/>
  <c r="U128" i="22"/>
  <c r="U132" i="22"/>
  <c r="U106" i="22"/>
  <c r="U98" i="22"/>
  <c r="U110" i="22"/>
  <c r="U102" i="22"/>
  <c r="U27" i="22"/>
  <c r="U92" i="22"/>
  <c r="U84" i="22"/>
  <c r="U80" i="22"/>
  <c r="U76" i="22"/>
  <c r="U72" i="22"/>
  <c r="U68" i="22"/>
  <c r="U64" i="22"/>
  <c r="U60" i="22"/>
  <c r="U52" i="22"/>
  <c r="U48" i="22"/>
  <c r="U40" i="22"/>
  <c r="U90" i="22"/>
  <c r="U82" i="22"/>
  <c r="U78" i="22"/>
  <c r="U74" i="22"/>
  <c r="U70" i="22"/>
  <c r="U66" i="22"/>
  <c r="U62" i="22"/>
  <c r="U58" i="22"/>
  <c r="U50" i="22"/>
  <c r="U46" i="22"/>
  <c r="U38" i="22"/>
  <c r="U131" i="22"/>
  <c r="U138" i="22"/>
  <c r="U134" i="22"/>
  <c r="U130" i="22"/>
  <c r="U137" i="22"/>
  <c r="U133" i="22"/>
  <c r="U129" i="22"/>
  <c r="U135" i="22"/>
  <c r="U127" i="22"/>
  <c r="U126" i="22"/>
  <c r="U123" i="22"/>
  <c r="U119" i="22"/>
  <c r="U122" i="22"/>
  <c r="U118" i="22"/>
  <c r="U114" i="22"/>
  <c r="U121" i="22"/>
  <c r="U117" i="22"/>
  <c r="U124" i="22"/>
  <c r="U120" i="22"/>
  <c r="U116" i="22"/>
  <c r="U115" i="22"/>
  <c r="U113" i="22"/>
  <c r="U109" i="22"/>
  <c r="U105" i="22"/>
  <c r="U101" i="22"/>
  <c r="U111" i="22"/>
  <c r="U107" i="22"/>
  <c r="U103" i="22"/>
  <c r="U99" i="22"/>
  <c r="U108" i="22"/>
  <c r="U104" i="22"/>
  <c r="U100" i="22"/>
  <c r="U96" i="22"/>
  <c r="U97" i="22"/>
  <c r="U95" i="22"/>
  <c r="U91" i="22"/>
  <c r="U83" i="22"/>
  <c r="U79" i="22"/>
  <c r="U75" i="22"/>
  <c r="U71" i="22"/>
  <c r="U67" i="22"/>
  <c r="U63" i="22"/>
  <c r="U59" i="22"/>
  <c r="U51" i="22"/>
  <c r="U47" i="22"/>
  <c r="U39" i="22"/>
  <c r="U93" i="22"/>
  <c r="U85" i="22"/>
  <c r="U81" i="22"/>
  <c r="U77" i="22"/>
  <c r="U73" i="22"/>
  <c r="U69" i="22"/>
  <c r="U65" i="22"/>
  <c r="U61" i="22"/>
  <c r="U53" i="22"/>
  <c r="U49" i="22"/>
  <c r="U41" i="22"/>
  <c r="U37" i="22"/>
  <c r="U36" i="22"/>
  <c r="U35" i="22"/>
  <c r="U34" i="22"/>
  <c r="U26" i="22"/>
  <c r="U30" i="22"/>
  <c r="U19" i="22"/>
  <c r="U86" i="22"/>
  <c r="U22" i="22"/>
  <c r="U18" i="22"/>
  <c r="U89" i="22"/>
  <c r="U16" i="22"/>
  <c r="U29" i="22"/>
  <c r="U25" i="22"/>
  <c r="U21" i="22"/>
  <c r="U17" i="22"/>
  <c r="U88" i="22"/>
  <c r="U32" i="22"/>
  <c r="U28" i="22"/>
  <c r="U24" i="22"/>
  <c r="U20" i="22"/>
  <c r="U87" i="22"/>
  <c r="U54" i="22"/>
  <c r="U57" i="22"/>
  <c r="U45" i="22"/>
  <c r="U56" i="22"/>
  <c r="U44" i="22"/>
  <c r="U55" i="22"/>
  <c r="U43" i="22"/>
  <c r="U42" i="22"/>
  <c r="W59" i="17"/>
  <c r="Q59" i="17"/>
  <c r="A46" i="19"/>
  <c r="N14" i="22"/>
  <c r="I14" i="22"/>
  <c r="T14" i="22"/>
  <c r="E4" i="21"/>
  <c r="E50" i="21"/>
  <c r="E34" i="21"/>
  <c r="E35" i="21"/>
  <c r="E33" i="21"/>
  <c r="E24" i="21"/>
  <c r="E25" i="21"/>
  <c r="E26" i="21"/>
  <c r="E27" i="21"/>
  <c r="E28" i="21"/>
  <c r="E29" i="21"/>
  <c r="E30" i="21"/>
  <c r="E23" i="21"/>
  <c r="E44" i="20"/>
  <c r="E42" i="20"/>
  <c r="F8" i="20"/>
  <c r="F9" i="20"/>
  <c r="F10" i="20"/>
  <c r="F11" i="20"/>
  <c r="F7" i="20"/>
  <c r="E44" i="18"/>
  <c r="E42" i="18"/>
  <c r="E44" i="19"/>
  <c r="E42" i="19"/>
  <c r="F8" i="18"/>
  <c r="F9" i="18"/>
  <c r="F10" i="18"/>
  <c r="F11" i="18"/>
  <c r="F7" i="18"/>
  <c r="C50" i="19"/>
  <c r="C49" i="19"/>
  <c r="D45" i="19"/>
  <c r="E45" i="19" s="1"/>
  <c r="C44" i="19"/>
  <c r="C42" i="19"/>
  <c r="D40" i="19"/>
  <c r="E40" i="19" s="1"/>
  <c r="G40" i="19" s="1"/>
  <c r="C36" i="19"/>
  <c r="C35" i="19"/>
  <c r="C34" i="19"/>
  <c r="C33" i="19"/>
  <c r="E31" i="19"/>
  <c r="C30" i="19"/>
  <c r="C29" i="19"/>
  <c r="C28" i="19"/>
  <c r="C27" i="19"/>
  <c r="C26" i="19"/>
  <c r="C25" i="19"/>
  <c r="C24" i="19"/>
  <c r="C23" i="19"/>
  <c r="C19" i="19"/>
  <c r="C18" i="19"/>
  <c r="C17" i="19"/>
  <c r="C16" i="19"/>
  <c r="C15" i="19"/>
  <c r="D51" i="20"/>
  <c r="E51" i="20" s="1"/>
  <c r="G51" i="20" s="1"/>
  <c r="C50" i="20"/>
  <c r="C49" i="20"/>
  <c r="C44" i="20"/>
  <c r="C42" i="20"/>
  <c r="D40" i="20"/>
  <c r="E40" i="20" s="1"/>
  <c r="C36" i="20"/>
  <c r="C35" i="20"/>
  <c r="C34" i="20"/>
  <c r="C33" i="20"/>
  <c r="E31" i="20"/>
  <c r="C30" i="20"/>
  <c r="C29" i="20"/>
  <c r="C28" i="20"/>
  <c r="C27" i="20"/>
  <c r="C26" i="20"/>
  <c r="C25" i="20"/>
  <c r="C24" i="20"/>
  <c r="C23" i="20"/>
  <c r="C19" i="20"/>
  <c r="C18" i="20"/>
  <c r="C17" i="20"/>
  <c r="C16" i="20"/>
  <c r="C15" i="20"/>
  <c r="C50" i="21"/>
  <c r="C49" i="21"/>
  <c r="A46" i="21"/>
  <c r="C44" i="21"/>
  <c r="C42" i="21"/>
  <c r="C36" i="21"/>
  <c r="C35" i="21"/>
  <c r="C34" i="21"/>
  <c r="C33" i="21"/>
  <c r="C30" i="21"/>
  <c r="C29" i="21"/>
  <c r="C28" i="21"/>
  <c r="C27" i="21"/>
  <c r="C26" i="21"/>
  <c r="C25" i="21"/>
  <c r="C24" i="21"/>
  <c r="C23" i="21"/>
  <c r="C19" i="21"/>
  <c r="C18" i="21"/>
  <c r="C17" i="21"/>
  <c r="C16" i="21"/>
  <c r="C15" i="21"/>
  <c r="D51" i="18"/>
  <c r="E51" i="18" s="1"/>
  <c r="G51" i="18" s="1"/>
  <c r="C50" i="18"/>
  <c r="C49" i="18"/>
  <c r="A46" i="18"/>
  <c r="C44" i="18"/>
  <c r="C42" i="18"/>
  <c r="D40" i="18"/>
  <c r="C36" i="18"/>
  <c r="C35" i="18"/>
  <c r="C34" i="18"/>
  <c r="C33" i="18"/>
  <c r="E31" i="18"/>
  <c r="C30" i="18"/>
  <c r="C29" i="18"/>
  <c r="C28" i="18"/>
  <c r="C27" i="18"/>
  <c r="C26" i="18"/>
  <c r="C25" i="18"/>
  <c r="C24" i="18"/>
  <c r="C23" i="18"/>
  <c r="C19" i="18"/>
  <c r="C18" i="18"/>
  <c r="C17" i="18"/>
  <c r="C16" i="18"/>
  <c r="C15" i="18"/>
  <c r="C60" i="17"/>
  <c r="C59" i="17"/>
  <c r="C54" i="17"/>
  <c r="C52" i="17"/>
  <c r="A56" i="17"/>
  <c r="E54" i="17"/>
  <c r="E52" i="17"/>
  <c r="C44" i="17"/>
  <c r="C45" i="17"/>
  <c r="C46" i="17"/>
  <c r="C43" i="17"/>
  <c r="E41" i="17"/>
  <c r="L21" i="7"/>
  <c r="P12" i="8" s="1"/>
  <c r="L22" i="7"/>
  <c r="P13" i="8" s="1"/>
  <c r="L23" i="7"/>
  <c r="P14" i="8" s="1"/>
  <c r="L24" i="7"/>
  <c r="P15" i="8" s="1"/>
  <c r="L21" i="9"/>
  <c r="P12" i="10" s="1"/>
  <c r="L22" i="9"/>
  <c r="P13" i="10" s="1"/>
  <c r="L23" i="9"/>
  <c r="P14" i="10" s="1"/>
  <c r="L24" i="9"/>
  <c r="P15" i="10" s="1"/>
  <c r="L21" i="5"/>
  <c r="P12" i="6" s="1"/>
  <c r="L22" i="5"/>
  <c r="P13" i="6" s="1"/>
  <c r="L23" i="5"/>
  <c r="P14" i="6" s="1"/>
  <c r="L24" i="5"/>
  <c r="P15" i="6" s="1"/>
  <c r="L20" i="7"/>
  <c r="P11" i="8" s="1"/>
  <c r="L20" i="9"/>
  <c r="P11" i="10" s="1"/>
  <c r="L20" i="5"/>
  <c r="P11" i="6" s="1"/>
  <c r="C17" i="17"/>
  <c r="C18" i="17"/>
  <c r="C19" i="17"/>
  <c r="C20" i="17"/>
  <c r="C16" i="17"/>
  <c r="F8" i="17"/>
  <c r="F9" i="17"/>
  <c r="F10" i="17"/>
  <c r="F11" i="17"/>
  <c r="F7" i="17"/>
  <c r="C83" i="7"/>
  <c r="C83" i="9"/>
  <c r="C83" i="5"/>
  <c r="C82" i="7"/>
  <c r="C82" i="9"/>
  <c r="C82" i="5"/>
  <c r="K84" i="7"/>
  <c r="K84" i="9"/>
  <c r="K84" i="5"/>
  <c r="G85" i="7"/>
  <c r="D84" i="7" s="1"/>
  <c r="G85" i="9"/>
  <c r="G85" i="5"/>
  <c r="D84" i="5" s="1"/>
  <c r="G84" i="7"/>
  <c r="G84" i="9"/>
  <c r="G84" i="5"/>
  <c r="H79" i="7"/>
  <c r="H79" i="9"/>
  <c r="H79" i="5"/>
  <c r="G79" i="7"/>
  <c r="G79" i="9"/>
  <c r="G79" i="5"/>
  <c r="F79" i="9"/>
  <c r="F79" i="5"/>
  <c r="G78" i="7"/>
  <c r="G78" i="9"/>
  <c r="G78" i="5"/>
  <c r="F78" i="7"/>
  <c r="F78" i="9"/>
  <c r="F78" i="5"/>
  <c r="G73" i="7"/>
  <c r="G73" i="9"/>
  <c r="G73" i="5"/>
  <c r="F73" i="7"/>
  <c r="F73" i="9"/>
  <c r="F73" i="5"/>
  <c r="C77" i="7"/>
  <c r="C77" i="9"/>
  <c r="C77" i="5"/>
  <c r="D76" i="7"/>
  <c r="D76" i="9"/>
  <c r="D76" i="5"/>
  <c r="C75" i="7"/>
  <c r="C75" i="9"/>
  <c r="C75" i="5"/>
  <c r="D74" i="7"/>
  <c r="D74" i="9"/>
  <c r="D74" i="5"/>
  <c r="D73" i="7"/>
  <c r="D73" i="9"/>
  <c r="C67" i="7"/>
  <c r="C68" i="7"/>
  <c r="C69" i="7"/>
  <c r="C67" i="9"/>
  <c r="C68" i="9"/>
  <c r="C69" i="9"/>
  <c r="C67" i="5"/>
  <c r="C68" i="5"/>
  <c r="C69" i="5"/>
  <c r="C66" i="7"/>
  <c r="C66" i="9"/>
  <c r="C66" i="5"/>
  <c r="E7" i="22" l="1"/>
  <c r="D73" i="5"/>
  <c r="D50" i="17"/>
  <c r="E50" i="17" s="1"/>
  <c r="D61" i="17"/>
  <c r="E61" i="17" s="1"/>
  <c r="G61" i="17" s="1"/>
  <c r="D51" i="19"/>
  <c r="E51" i="19" s="1"/>
  <c r="G51" i="19" s="1"/>
  <c r="D78" i="5"/>
  <c r="D17" i="20"/>
  <c r="D78" i="9"/>
  <c r="D78" i="7"/>
  <c r="D55" i="17"/>
  <c r="E55" i="17" s="1"/>
  <c r="G55" i="17" s="1"/>
  <c r="D45" i="18"/>
  <c r="E45" i="18" s="1"/>
  <c r="G45" i="18" s="1"/>
  <c r="D45" i="20"/>
  <c r="E45" i="20" s="1"/>
  <c r="G45" i="20" s="1"/>
  <c r="AN213" i="15"/>
  <c r="AN214" i="15" s="1"/>
  <c r="AN215" i="15" s="1"/>
  <c r="AN216" i="15" s="1"/>
  <c r="AN217" i="15" s="1"/>
  <c r="AN218" i="15" s="1"/>
  <c r="AN220" i="15" s="1"/>
  <c r="AN221" i="15" s="1"/>
  <c r="AN222" i="15" s="1"/>
  <c r="AN223" i="15" s="1"/>
  <c r="AN224" i="15" s="1"/>
  <c r="AN225" i="15" s="1"/>
  <c r="AN226" i="15" s="1"/>
  <c r="AN228" i="15" s="1"/>
  <c r="AN229" i="15" s="1"/>
  <c r="AN230" i="15" s="1"/>
  <c r="AN231" i="15" s="1"/>
  <c r="AN232" i="15" s="1"/>
  <c r="AN233" i="15" s="1"/>
  <c r="AN234" i="15" s="1"/>
  <c r="AN236" i="15" s="1"/>
  <c r="AN237" i="15" s="1"/>
  <c r="AN238" i="15" s="1"/>
  <c r="AN239" i="15" s="1"/>
  <c r="AN240" i="15" s="1"/>
  <c r="AN241" i="15" s="1"/>
  <c r="AN242" i="15" s="1"/>
  <c r="AN244" i="15" s="1"/>
  <c r="P17" i="6"/>
  <c r="P17" i="10"/>
  <c r="P17" i="8"/>
  <c r="F13" i="17"/>
  <c r="D61" i="4"/>
  <c r="E19" i="4"/>
  <c r="E28" i="4" s="1"/>
  <c r="F20" i="4"/>
  <c r="F24" i="4"/>
  <c r="C24" i="4" s="1"/>
  <c r="F27" i="4"/>
  <c r="F31" i="4"/>
  <c r="C31" i="4" s="1"/>
  <c r="I42" i="4"/>
  <c r="F22" i="4"/>
  <c r="C22" i="4" s="1"/>
  <c r="F30" i="4"/>
  <c r="I40" i="4"/>
  <c r="F23" i="4"/>
  <c r="C23" i="4" s="1"/>
  <c r="F35" i="4"/>
  <c r="C35" i="4" s="1"/>
  <c r="F21" i="4"/>
  <c r="C21" i="4" s="1"/>
  <c r="F25" i="4"/>
  <c r="C25" i="4" s="1"/>
  <c r="E29" i="4"/>
  <c r="E38" i="4" s="1"/>
  <c r="F32" i="4"/>
  <c r="C32" i="4" s="1"/>
  <c r="F36" i="4"/>
  <c r="C36" i="4" s="1"/>
  <c r="I43" i="4"/>
  <c r="F37" i="4"/>
  <c r="C37" i="4" s="1"/>
  <c r="F34" i="4"/>
  <c r="C34" i="4" s="1"/>
  <c r="I44" i="4"/>
  <c r="F26" i="4"/>
  <c r="I41" i="4"/>
  <c r="I26" i="4"/>
  <c r="I25" i="4" s="1"/>
  <c r="V61" i="17"/>
  <c r="P61" i="17"/>
  <c r="J61" i="17"/>
  <c r="K61" i="17" s="1"/>
  <c r="M61" i="17" s="1"/>
  <c r="A46" i="20"/>
  <c r="Z56" i="17"/>
  <c r="T56" i="17"/>
  <c r="H56" i="17"/>
  <c r="N56" i="17"/>
  <c r="V55" i="17"/>
  <c r="P55" i="17"/>
  <c r="J55" i="17"/>
  <c r="K55" i="17" s="1"/>
  <c r="M55" i="17" s="1"/>
  <c r="P50" i="17"/>
  <c r="J50" i="17"/>
  <c r="K50" i="17" s="1"/>
  <c r="M50" i="17" s="1"/>
  <c r="V50" i="17"/>
  <c r="D16" i="20"/>
  <c r="D18" i="20"/>
  <c r="D19" i="20"/>
  <c r="C78" i="4"/>
  <c r="D53" i="4"/>
  <c r="D58" i="4"/>
  <c r="D56" i="4"/>
  <c r="D55" i="4"/>
  <c r="D59" i="4"/>
  <c r="D54" i="4"/>
  <c r="D63" i="4"/>
  <c r="D62" i="4"/>
  <c r="D15" i="18"/>
  <c r="D19" i="18"/>
  <c r="D60" i="4"/>
  <c r="D57" i="4"/>
  <c r="E42" i="21"/>
  <c r="D18" i="18"/>
  <c r="E44" i="21"/>
  <c r="X59" i="17"/>
  <c r="Y59" i="17"/>
  <c r="R59" i="17"/>
  <c r="S59" i="17"/>
  <c r="F79" i="7"/>
  <c r="D75" i="4"/>
  <c r="D52" i="4"/>
  <c r="D47" i="4"/>
  <c r="D66" i="4"/>
  <c r="D67" i="4"/>
  <c r="D82" i="4"/>
  <c r="D83" i="4"/>
  <c r="D69" i="4"/>
  <c r="D51" i="4"/>
  <c r="D50" i="4"/>
  <c r="D19" i="17"/>
  <c r="C84" i="4"/>
  <c r="D77" i="4"/>
  <c r="D49" i="4"/>
  <c r="D48" i="4"/>
  <c r="C73" i="4"/>
  <c r="D68" i="4"/>
  <c r="C76" i="4"/>
  <c r="C74" i="4"/>
  <c r="G50" i="17"/>
  <c r="D18" i="17"/>
  <c r="E31" i="21"/>
  <c r="F12" i="18"/>
  <c r="C40" i="18" s="1"/>
  <c r="E40" i="18"/>
  <c r="D17" i="18"/>
  <c r="G40" i="21"/>
  <c r="F12" i="20"/>
  <c r="F44" i="20" s="1"/>
  <c r="D16" i="18"/>
  <c r="G40" i="20"/>
  <c r="D15" i="20"/>
  <c r="G45" i="19"/>
  <c r="D17" i="17"/>
  <c r="D20" i="17"/>
  <c r="D16" i="17"/>
  <c r="D84" i="9"/>
  <c r="D79" i="4" l="1"/>
  <c r="C79" i="4" s="1"/>
  <c r="AN245" i="15"/>
  <c r="AN246" i="15" s="1"/>
  <c r="AN247" i="15" s="1"/>
  <c r="AN248" i="15" s="1"/>
  <c r="AN249" i="15" s="1"/>
  <c r="AN250" i="15" s="1"/>
  <c r="AN252" i="15" s="1"/>
  <c r="AN253" i="15" s="1"/>
  <c r="AN254" i="15" s="1"/>
  <c r="AN255" i="15" s="1"/>
  <c r="AN256" i="15" s="1"/>
  <c r="AN257" i="15" s="1"/>
  <c r="AN258" i="15" s="1"/>
  <c r="AN260" i="15" s="1"/>
  <c r="AN261" i="15" s="1"/>
  <c r="AN262" i="15" s="1"/>
  <c r="AN263" i="15" s="1"/>
  <c r="AN264" i="15" s="1"/>
  <c r="AN265" i="15" s="1"/>
  <c r="AN266" i="15" s="1"/>
  <c r="AN268" i="15" s="1"/>
  <c r="AN269" i="15" s="1"/>
  <c r="AN270" i="15" s="1"/>
  <c r="AN271" i="15" s="1"/>
  <c r="AN272" i="15" s="1"/>
  <c r="AN273" i="15" s="1"/>
  <c r="AN274" i="15" s="1"/>
  <c r="AN276" i="15" s="1"/>
  <c r="AN277" i="15" s="1"/>
  <c r="AN278" i="15" s="1"/>
  <c r="AN279" i="15" s="1"/>
  <c r="AN280" i="15" s="1"/>
  <c r="AN281" i="15" s="1"/>
  <c r="AN282" i="15" s="1"/>
  <c r="AN284" i="15" s="1"/>
  <c r="AN285" i="15" s="1"/>
  <c r="AN286" i="15" s="1"/>
  <c r="AN287" i="15" s="1"/>
  <c r="AN288" i="15" s="1"/>
  <c r="AN289" i="15" s="1"/>
  <c r="AN290" i="15" s="1"/>
  <c r="AN292" i="15" s="1"/>
  <c r="AN293" i="15" s="1"/>
  <c r="AN294" i="15" s="1"/>
  <c r="AN295" i="15" s="1"/>
  <c r="AN296" i="15" s="1"/>
  <c r="AN297" i="15" s="1"/>
  <c r="AN298" i="15" s="1"/>
  <c r="AN300" i="15" s="1"/>
  <c r="AN301" i="15" s="1"/>
  <c r="AN302" i="15" s="1"/>
  <c r="AN303" i="15" s="1"/>
  <c r="AN304" i="15" s="1"/>
  <c r="AN305" i="15" s="1"/>
  <c r="AN306" i="15" s="1"/>
  <c r="AN308" i="15" s="1"/>
  <c r="AN309" i="15" s="1"/>
  <c r="AN310" i="15" s="1"/>
  <c r="AN311" i="15" s="1"/>
  <c r="AN312" i="15" s="1"/>
  <c r="AN313" i="15" s="1"/>
  <c r="AN314" i="15" s="1"/>
  <c r="AN316" i="15" s="1"/>
  <c r="K25" i="4"/>
  <c r="N16" i="1"/>
  <c r="D12" i="17"/>
  <c r="E39" i="4"/>
  <c r="C30" i="4"/>
  <c r="C38" i="4" s="1"/>
  <c r="F38" i="4"/>
  <c r="I24" i="4"/>
  <c r="K24" i="4" s="1"/>
  <c r="I20" i="4"/>
  <c r="I21" i="4"/>
  <c r="K21" i="4" s="1"/>
  <c r="J26" i="4"/>
  <c r="I23" i="4"/>
  <c r="K23" i="4" s="1"/>
  <c r="I22" i="4"/>
  <c r="K22" i="4" s="1"/>
  <c r="C20" i="4"/>
  <c r="C28" i="4" s="1"/>
  <c r="F28" i="4"/>
  <c r="Q61" i="17"/>
  <c r="O61" i="17"/>
  <c r="P62" i="17"/>
  <c r="O62" i="17" s="1"/>
  <c r="W61" i="17"/>
  <c r="U61" i="17"/>
  <c r="V62" i="17"/>
  <c r="U62" i="17" s="1"/>
  <c r="Q55" i="17"/>
  <c r="O55" i="17"/>
  <c r="W55" i="17"/>
  <c r="U55" i="17"/>
  <c r="W50" i="17"/>
  <c r="U50" i="17"/>
  <c r="Q50" i="17"/>
  <c r="O50" i="17"/>
  <c r="D20" i="20"/>
  <c r="C20" i="20" s="1"/>
  <c r="D30" i="17"/>
  <c r="G30" i="17" s="1"/>
  <c r="D27" i="17"/>
  <c r="G27" i="17" s="1"/>
  <c r="D31" i="17"/>
  <c r="G31" i="17" s="1"/>
  <c r="D35" i="17"/>
  <c r="G35" i="17" s="1"/>
  <c r="D39" i="17"/>
  <c r="G39" i="17" s="1"/>
  <c r="D33" i="17"/>
  <c r="G33" i="17" s="1"/>
  <c r="D24" i="17"/>
  <c r="G24" i="17" s="1"/>
  <c r="D38" i="17"/>
  <c r="G38" i="17" s="1"/>
  <c r="D28" i="17"/>
  <c r="G28" i="17" s="1"/>
  <c r="D32" i="17"/>
  <c r="G32" i="17" s="1"/>
  <c r="D36" i="17"/>
  <c r="G36" i="17" s="1"/>
  <c r="D40" i="17"/>
  <c r="G40" i="17" s="1"/>
  <c r="D25" i="17"/>
  <c r="G25" i="17" s="1"/>
  <c r="D29" i="17"/>
  <c r="G29" i="17" s="1"/>
  <c r="D37" i="17"/>
  <c r="G37" i="17" s="1"/>
  <c r="D26" i="17"/>
  <c r="G26" i="17" s="1"/>
  <c r="D34" i="17"/>
  <c r="G34" i="17" s="1"/>
  <c r="F42" i="18"/>
  <c r="F31" i="17"/>
  <c r="F35" i="17"/>
  <c r="F39" i="17"/>
  <c r="F36" i="17"/>
  <c r="F33" i="17"/>
  <c r="F34" i="17"/>
  <c r="F38" i="17"/>
  <c r="F32" i="17"/>
  <c r="F37" i="17"/>
  <c r="F29" i="17"/>
  <c r="F50" i="17"/>
  <c r="F30" i="17"/>
  <c r="Y30" i="17"/>
  <c r="Y26" i="17"/>
  <c r="S40" i="17"/>
  <c r="S27" i="17"/>
  <c r="Y40" i="17"/>
  <c r="Y27" i="17"/>
  <c r="S28" i="17"/>
  <c r="Y28" i="17"/>
  <c r="S29" i="17"/>
  <c r="S25" i="17"/>
  <c r="Y29" i="17"/>
  <c r="Y25" i="17"/>
  <c r="S30" i="17"/>
  <c r="S26" i="17"/>
  <c r="Q46" i="17"/>
  <c r="R46" i="17" s="1"/>
  <c r="W46" i="17"/>
  <c r="X46" i="17" s="1"/>
  <c r="S44" i="17"/>
  <c r="Y45" i="17"/>
  <c r="S45" i="17"/>
  <c r="Y44" i="17"/>
  <c r="D85" i="4"/>
  <c r="C85" i="4" s="1"/>
  <c r="D70" i="4"/>
  <c r="C70" i="4" s="1"/>
  <c r="D64" i="4"/>
  <c r="C64" i="4" s="1"/>
  <c r="F44" i="18"/>
  <c r="D50" i="20"/>
  <c r="G50" i="20" s="1"/>
  <c r="D42" i="20"/>
  <c r="D36" i="20"/>
  <c r="E36" i="20" s="1"/>
  <c r="D35" i="20"/>
  <c r="G35" i="20" s="1"/>
  <c r="D34" i="20"/>
  <c r="G34" i="20" s="1"/>
  <c r="D33" i="20"/>
  <c r="F30" i="20"/>
  <c r="F29" i="20"/>
  <c r="F28" i="20"/>
  <c r="F27" i="20"/>
  <c r="F26" i="20"/>
  <c r="F25" i="20"/>
  <c r="F24" i="20"/>
  <c r="F23" i="20"/>
  <c r="C51" i="20"/>
  <c r="D49" i="20"/>
  <c r="F50" i="20"/>
  <c r="F35" i="20"/>
  <c r="D28" i="20"/>
  <c r="G28" i="20" s="1"/>
  <c r="D24" i="20"/>
  <c r="G24" i="20" s="1"/>
  <c r="C45" i="20"/>
  <c r="D27" i="20"/>
  <c r="G27" i="20" s="1"/>
  <c r="F31" i="20"/>
  <c r="D30" i="20"/>
  <c r="G30" i="20" s="1"/>
  <c r="D25" i="20"/>
  <c r="G25" i="20" s="1"/>
  <c r="F51" i="20"/>
  <c r="D44" i="20"/>
  <c r="G44" i="20" s="1"/>
  <c r="D23" i="20"/>
  <c r="F42" i="20"/>
  <c r="F33" i="20"/>
  <c r="D29" i="20"/>
  <c r="G29" i="20" s="1"/>
  <c r="D26" i="20"/>
  <c r="G26" i="20" s="1"/>
  <c r="F34" i="20"/>
  <c r="F45" i="20"/>
  <c r="C40" i="20"/>
  <c r="F40" i="20"/>
  <c r="D50" i="18"/>
  <c r="G50" i="18" s="1"/>
  <c r="D42" i="18"/>
  <c r="D36" i="18"/>
  <c r="E36" i="18" s="1"/>
  <c r="D35" i="18"/>
  <c r="G35" i="18" s="1"/>
  <c r="D34" i="18"/>
  <c r="G34" i="18" s="1"/>
  <c r="D33" i="18"/>
  <c r="F30" i="18"/>
  <c r="F29" i="18"/>
  <c r="F28" i="18"/>
  <c r="F27" i="18"/>
  <c r="F26" i="18"/>
  <c r="F25" i="18"/>
  <c r="F24" i="18"/>
  <c r="D24" i="18"/>
  <c r="G24" i="18" s="1"/>
  <c r="D25" i="18"/>
  <c r="G25" i="18" s="1"/>
  <c r="C51" i="18"/>
  <c r="F51" i="18"/>
  <c r="F45" i="18"/>
  <c r="F33" i="18"/>
  <c r="D30" i="18"/>
  <c r="G30" i="18" s="1"/>
  <c r="D26" i="18"/>
  <c r="G26" i="18" s="1"/>
  <c r="F50" i="18"/>
  <c r="D49" i="18"/>
  <c r="D44" i="18"/>
  <c r="G44" i="18" s="1"/>
  <c r="F34" i="18"/>
  <c r="D27" i="18"/>
  <c r="G27" i="18" s="1"/>
  <c r="F23" i="18"/>
  <c r="C45" i="18"/>
  <c r="F35" i="18"/>
  <c r="D28" i="18"/>
  <c r="G28" i="18" s="1"/>
  <c r="D23" i="18"/>
  <c r="F31" i="18"/>
  <c r="D29" i="18"/>
  <c r="G29" i="18" s="1"/>
  <c r="D20" i="18"/>
  <c r="C20" i="18" s="1"/>
  <c r="F40" i="18"/>
  <c r="G40" i="18"/>
  <c r="F28" i="17"/>
  <c r="F27" i="17"/>
  <c r="F55" i="17"/>
  <c r="F54" i="17"/>
  <c r="F45" i="17"/>
  <c r="D52" i="17"/>
  <c r="G52" i="17" s="1"/>
  <c r="F40" i="17"/>
  <c r="F43" i="17"/>
  <c r="F61" i="17"/>
  <c r="F44" i="17"/>
  <c r="C61" i="17"/>
  <c r="F25" i="17"/>
  <c r="F60" i="17"/>
  <c r="C50" i="17"/>
  <c r="D60" i="17"/>
  <c r="G60" i="17" s="1"/>
  <c r="D59" i="17"/>
  <c r="D46" i="17"/>
  <c r="E46" i="17" s="1"/>
  <c r="F46" i="17" s="1"/>
  <c r="C55" i="17"/>
  <c r="F26" i="17"/>
  <c r="D54" i="17"/>
  <c r="G54" i="17" s="1"/>
  <c r="D44" i="17"/>
  <c r="G44" i="17" s="1"/>
  <c r="D45" i="17"/>
  <c r="G45" i="17" s="1"/>
  <c r="F41" i="17"/>
  <c r="F24" i="17"/>
  <c r="F52" i="17"/>
  <c r="D43" i="17"/>
  <c r="G43" i="17" s="1"/>
  <c r="D21" i="17"/>
  <c r="H48" i="6"/>
  <c r="L48" i="6"/>
  <c r="H48" i="8"/>
  <c r="L48" i="8"/>
  <c r="H48" i="10"/>
  <c r="L48" i="10"/>
  <c r="H48" i="1"/>
  <c r="L48" i="1"/>
  <c r="AN317" i="15" l="1"/>
  <c r="AN318" i="15" s="1"/>
  <c r="AN319" i="15" s="1"/>
  <c r="AN320" i="15" s="1"/>
  <c r="AN321" i="15" s="1"/>
  <c r="AN322" i="15" s="1"/>
  <c r="AN324" i="15" s="1"/>
  <c r="AN325" i="15" s="1"/>
  <c r="AN326" i="15" s="1"/>
  <c r="AN327" i="15" s="1"/>
  <c r="AN328" i="15" s="1"/>
  <c r="AN329" i="15" s="1"/>
  <c r="AN330" i="15" s="1"/>
  <c r="AN332" i="15" s="1"/>
  <c r="AN333" i="15" s="1"/>
  <c r="AN334" i="15" s="1"/>
  <c r="AN335" i="15" s="1"/>
  <c r="AN336" i="15" s="1"/>
  <c r="AN337" i="15" s="1"/>
  <c r="AN338" i="15" s="1"/>
  <c r="AN340" i="15" s="1"/>
  <c r="AN341" i="15" s="1"/>
  <c r="AN342" i="15" s="1"/>
  <c r="AN343" i="15" s="1"/>
  <c r="AN344" i="15" s="1"/>
  <c r="AN345" i="15" s="1"/>
  <c r="AN346" i="15" s="1"/>
  <c r="AN348" i="15" s="1"/>
  <c r="G12" i="17"/>
  <c r="O16" i="1"/>
  <c r="D28" i="4"/>
  <c r="C39" i="4"/>
  <c r="I34" i="4"/>
  <c r="I32" i="4"/>
  <c r="I31" i="4"/>
  <c r="I28" i="4"/>
  <c r="K20" i="4"/>
  <c r="I30" i="4"/>
  <c r="I35" i="4"/>
  <c r="I29" i="4"/>
  <c r="D38" i="4"/>
  <c r="F39" i="4"/>
  <c r="Y61" i="17"/>
  <c r="Y62" i="17" s="1"/>
  <c r="X61" i="17"/>
  <c r="W62" i="17"/>
  <c r="X62" i="17" s="1"/>
  <c r="S61" i="17"/>
  <c r="S62" i="17" s="1"/>
  <c r="R61" i="17"/>
  <c r="Q62" i="17"/>
  <c r="R62" i="17" s="1"/>
  <c r="Y55" i="17"/>
  <c r="X55" i="17"/>
  <c r="S55" i="17"/>
  <c r="R55" i="17"/>
  <c r="S50" i="17"/>
  <c r="R50" i="17"/>
  <c r="Y50" i="17"/>
  <c r="X50" i="17"/>
  <c r="D80" i="4"/>
  <c r="C80" i="4" s="1"/>
  <c r="Y24" i="17"/>
  <c r="Y41" i="17" s="1"/>
  <c r="V41" i="17"/>
  <c r="U41" i="17" s="1"/>
  <c r="Q47" i="17"/>
  <c r="S46" i="17"/>
  <c r="P47" i="17"/>
  <c r="O47" i="17" s="1"/>
  <c r="S43" i="17"/>
  <c r="Y43" i="17"/>
  <c r="V47" i="17"/>
  <c r="U47" i="17" s="1"/>
  <c r="Y46" i="17"/>
  <c r="W47" i="17"/>
  <c r="P41" i="17"/>
  <c r="O41" i="17" s="1"/>
  <c r="S24" i="17"/>
  <c r="S41" i="17" s="1"/>
  <c r="D62" i="17"/>
  <c r="C62" i="17" s="1"/>
  <c r="G42" i="18"/>
  <c r="G23" i="20"/>
  <c r="G31" i="20" s="1"/>
  <c r="D31" i="20"/>
  <c r="E49" i="20"/>
  <c r="D52" i="20"/>
  <c r="C52" i="20" s="1"/>
  <c r="F36" i="18"/>
  <c r="E37" i="18"/>
  <c r="G36" i="18"/>
  <c r="F36" i="20"/>
  <c r="E37" i="20"/>
  <c r="G36" i="20"/>
  <c r="D37" i="20"/>
  <c r="C37" i="20" s="1"/>
  <c r="G33" i="20"/>
  <c r="G42" i="20"/>
  <c r="G33" i="18"/>
  <c r="D37" i="18"/>
  <c r="C37" i="18" s="1"/>
  <c r="G23" i="18"/>
  <c r="G31" i="18" s="1"/>
  <c r="D31" i="18"/>
  <c r="E49" i="18"/>
  <c r="D52" i="18"/>
  <c r="C52" i="18" s="1"/>
  <c r="G46" i="17"/>
  <c r="G47" i="17" s="1"/>
  <c r="E47" i="17"/>
  <c r="F47" i="17" s="1"/>
  <c r="E59" i="17"/>
  <c r="E62" i="17" s="1"/>
  <c r="F62" i="17" s="1"/>
  <c r="D47" i="17"/>
  <c r="C47" i="17" s="1"/>
  <c r="G41" i="17"/>
  <c r="D41" i="17"/>
  <c r="C41" i="17" s="1"/>
  <c r="C21" i="17"/>
  <c r="D79" i="9"/>
  <c r="D79" i="5"/>
  <c r="D79" i="7"/>
  <c r="H48" i="13"/>
  <c r="J42" i="13"/>
  <c r="K42" i="13"/>
  <c r="J43" i="13"/>
  <c r="K43" i="13"/>
  <c r="J45" i="13"/>
  <c r="K45" i="13"/>
  <c r="J46" i="13"/>
  <c r="K46" i="13"/>
  <c r="J47" i="13"/>
  <c r="K47" i="13"/>
  <c r="J48" i="13"/>
  <c r="K48" i="13"/>
  <c r="K41" i="13"/>
  <c r="I48" i="13"/>
  <c r="J49" i="6"/>
  <c r="J49" i="8"/>
  <c r="J49" i="10"/>
  <c r="J49" i="1"/>
  <c r="K49" i="6"/>
  <c r="K49" i="8"/>
  <c r="K49" i="10"/>
  <c r="K49" i="1"/>
  <c r="N48" i="6"/>
  <c r="N48" i="8"/>
  <c r="N48" i="10"/>
  <c r="N48" i="1"/>
  <c r="AN349" i="15" l="1"/>
  <c r="AN350" i="15" s="1"/>
  <c r="AN351" i="15" s="1"/>
  <c r="AN352" i="15" s="1"/>
  <c r="AN353" i="15" s="1"/>
  <c r="AN354" i="15" s="1"/>
  <c r="AN356" i="15" s="1"/>
  <c r="AN357" i="15" s="1"/>
  <c r="AN358" i="15" s="1"/>
  <c r="AN359" i="15" s="1"/>
  <c r="AN360" i="15" s="1"/>
  <c r="AN361" i="15" s="1"/>
  <c r="AN362" i="15" s="1"/>
  <c r="AN364" i="15" s="1"/>
  <c r="AN365" i="15" s="1"/>
  <c r="AN366" i="15" s="1"/>
  <c r="AN367" i="15" s="1"/>
  <c r="AN368" i="15" s="1"/>
  <c r="AN369" i="15" s="1"/>
  <c r="AN370" i="15" s="1"/>
  <c r="AN372" i="15" s="1"/>
  <c r="AN373" i="15" s="1"/>
  <c r="AN374" i="15" s="1"/>
  <c r="AN375" i="15" s="1"/>
  <c r="AN376" i="15" s="1"/>
  <c r="AN377" i="15" s="1"/>
  <c r="AN378" i="15" s="1"/>
  <c r="J9" i="4"/>
  <c r="J10" i="4" s="1"/>
  <c r="J11" i="4" s="1"/>
  <c r="J12" i="4" s="1"/>
  <c r="J13" i="4" s="1"/>
  <c r="J14" i="4" s="1"/>
  <c r="E6" i="22" s="1"/>
  <c r="F6" i="22" s="1"/>
  <c r="G6" i="22" s="1"/>
  <c r="H6" i="22" s="1"/>
  <c r="K26" i="4"/>
  <c r="L26" i="4" s="1"/>
  <c r="D39" i="4"/>
  <c r="I36" i="4"/>
  <c r="S47" i="17"/>
  <c r="R47" i="17"/>
  <c r="Y47" i="17"/>
  <c r="X47" i="17"/>
  <c r="G37" i="18"/>
  <c r="G49" i="18"/>
  <c r="G52" i="18" s="1"/>
  <c r="F49" i="18"/>
  <c r="E52" i="18"/>
  <c r="F52" i="18" s="1"/>
  <c r="C31" i="18"/>
  <c r="G37" i="20"/>
  <c r="F37" i="20"/>
  <c r="F49" i="20"/>
  <c r="E52" i="20"/>
  <c r="F52" i="20" s="1"/>
  <c r="G49" i="20"/>
  <c r="G52" i="20" s="1"/>
  <c r="F37" i="18"/>
  <c r="C31" i="20"/>
  <c r="F59" i="17"/>
  <c r="G59" i="17"/>
  <c r="G62" i="17" s="1"/>
  <c r="L48" i="13"/>
  <c r="N48" i="13" s="1"/>
  <c r="K49" i="13"/>
  <c r="C3" i="17" l="1"/>
  <c r="I3" i="17" s="1"/>
  <c r="O3" i="17" s="1"/>
  <c r="U3" i="17" s="1"/>
  <c r="AA3" i="17" s="1"/>
  <c r="G88" i="4"/>
  <c r="D88" i="4" s="1"/>
  <c r="C88" i="4" s="1"/>
  <c r="AI424" i="15"/>
  <c r="I40" i="8" l="1"/>
  <c r="P53" i="17" s="1"/>
  <c r="I40" i="10"/>
  <c r="V53" i="17" s="1"/>
  <c r="I40" i="6"/>
  <c r="J53" i="17" s="1"/>
  <c r="I30" i="8"/>
  <c r="I30" i="10"/>
  <c r="I30" i="6"/>
  <c r="I40" i="1"/>
  <c r="I30" i="1"/>
  <c r="K53" i="17" l="1"/>
  <c r="D41" i="19"/>
  <c r="E41" i="19" s="1"/>
  <c r="P51" i="17"/>
  <c r="P56" i="17" s="1"/>
  <c r="W53" i="17"/>
  <c r="U53" i="17"/>
  <c r="D41" i="18"/>
  <c r="C41" i="18" s="1"/>
  <c r="J51" i="17"/>
  <c r="K51" i="17" s="1"/>
  <c r="D41" i="20"/>
  <c r="E41" i="20" s="1"/>
  <c r="V51" i="17"/>
  <c r="V56" i="17" s="1"/>
  <c r="Q53" i="17"/>
  <c r="O53" i="17"/>
  <c r="I49" i="10"/>
  <c r="D43" i="20"/>
  <c r="I49" i="8"/>
  <c r="D43" i="19"/>
  <c r="D51" i="17"/>
  <c r="D41" i="21"/>
  <c r="I49" i="1"/>
  <c r="D43" i="21"/>
  <c r="D53" i="17"/>
  <c r="I49" i="6"/>
  <c r="D43" i="18"/>
  <c r="I31" i="13"/>
  <c r="I32" i="13"/>
  <c r="I34" i="13"/>
  <c r="I35" i="13"/>
  <c r="I36" i="13"/>
  <c r="I37" i="13"/>
  <c r="I38" i="13"/>
  <c r="I33" i="13"/>
  <c r="D56" i="17" l="1"/>
  <c r="E41" i="18"/>
  <c r="M53" i="17"/>
  <c r="K56" i="17"/>
  <c r="K57" i="17" s="1"/>
  <c r="C41" i="20"/>
  <c r="D46" i="20"/>
  <c r="C46" i="20" s="1"/>
  <c r="W51" i="17"/>
  <c r="W56" i="17" s="1"/>
  <c r="U51" i="17"/>
  <c r="U56" i="17"/>
  <c r="X53" i="17"/>
  <c r="Y53" i="17"/>
  <c r="M51" i="17"/>
  <c r="Q51" i="17"/>
  <c r="Q56" i="17" s="1"/>
  <c r="O51" i="17"/>
  <c r="O56" i="17"/>
  <c r="R53" i="17"/>
  <c r="S53" i="17"/>
  <c r="AC52" i="17"/>
  <c r="E43" i="18"/>
  <c r="C43" i="18"/>
  <c r="E43" i="21"/>
  <c r="E43" i="19"/>
  <c r="E46" i="19" s="1"/>
  <c r="D46" i="18"/>
  <c r="C46" i="18" s="1"/>
  <c r="E41" i="21"/>
  <c r="E43" i="20"/>
  <c r="E46" i="20" s="1"/>
  <c r="E47" i="20" s="1"/>
  <c r="C43" i="20"/>
  <c r="E53" i="17"/>
  <c r="C53" i="17"/>
  <c r="E51" i="17"/>
  <c r="C51" i="17"/>
  <c r="G41" i="20"/>
  <c r="F41" i="20"/>
  <c r="G41" i="19"/>
  <c r="F41" i="18"/>
  <c r="G41" i="18"/>
  <c r="O4" i="13"/>
  <c r="O3" i="13"/>
  <c r="I47" i="13"/>
  <c r="L45" i="13"/>
  <c r="L46" i="13"/>
  <c r="L42" i="13"/>
  <c r="L47" i="13"/>
  <c r="J41" i="13"/>
  <c r="J49" i="13" s="1"/>
  <c r="J31" i="13"/>
  <c r="I42" i="13"/>
  <c r="I43" i="13"/>
  <c r="I45" i="13"/>
  <c r="I46" i="13"/>
  <c r="I41" i="13"/>
  <c r="H47" i="13"/>
  <c r="H46" i="13"/>
  <c r="H45" i="13"/>
  <c r="H43" i="13"/>
  <c r="H42" i="13"/>
  <c r="H41" i="13"/>
  <c r="H38" i="13"/>
  <c r="H37" i="13"/>
  <c r="H36" i="13"/>
  <c r="H35" i="13"/>
  <c r="H34" i="13"/>
  <c r="H33" i="13"/>
  <c r="H31" i="13"/>
  <c r="E46" i="18" l="1"/>
  <c r="G46" i="18" s="1"/>
  <c r="E56" i="17"/>
  <c r="F56" i="17" s="1"/>
  <c r="D47" i="20"/>
  <c r="D55" i="20" s="1"/>
  <c r="C55" i="20" s="1"/>
  <c r="V57" i="17"/>
  <c r="R56" i="17"/>
  <c r="S56" i="17"/>
  <c r="S51" i="17"/>
  <c r="R51" i="17"/>
  <c r="Q57" i="17"/>
  <c r="R57" i="17" s="1"/>
  <c r="P57" i="17"/>
  <c r="X56" i="17"/>
  <c r="Y56" i="17"/>
  <c r="Y51" i="17"/>
  <c r="X51" i="17"/>
  <c r="W57" i="17"/>
  <c r="X57" i="17" s="1"/>
  <c r="AC54" i="17"/>
  <c r="N45" i="13"/>
  <c r="N42" i="13"/>
  <c r="L36" i="13"/>
  <c r="N36" i="13" s="1"/>
  <c r="F47" i="20"/>
  <c r="C56" i="17"/>
  <c r="G53" i="17"/>
  <c r="F53" i="17"/>
  <c r="F46" i="20"/>
  <c r="G46" i="20"/>
  <c r="G41" i="21"/>
  <c r="E46" i="21"/>
  <c r="E47" i="21" s="1"/>
  <c r="G43" i="19"/>
  <c r="G43" i="21"/>
  <c r="E47" i="19"/>
  <c r="G51" i="17"/>
  <c r="F51" i="17"/>
  <c r="G43" i="20"/>
  <c r="F43" i="20"/>
  <c r="D57" i="17"/>
  <c r="D47" i="18"/>
  <c r="G43" i="18"/>
  <c r="F43" i="18"/>
  <c r="H49" i="13"/>
  <c r="H39" i="13"/>
  <c r="N47" i="13"/>
  <c r="L35" i="13"/>
  <c r="N35" i="13" s="1"/>
  <c r="L43" i="13"/>
  <c r="O5" i="13"/>
  <c r="L41" i="13"/>
  <c r="L32" i="13"/>
  <c r="N32" i="13" s="1"/>
  <c r="K39" i="13"/>
  <c r="L38" i="13"/>
  <c r="L34" i="13"/>
  <c r="N34" i="13" s="1"/>
  <c r="L37" i="13"/>
  <c r="L33" i="13"/>
  <c r="J39" i="13"/>
  <c r="J50" i="13" s="1"/>
  <c r="L31" i="13"/>
  <c r="N31" i="13" s="1"/>
  <c r="N46" i="13"/>
  <c r="C47" i="20" l="1"/>
  <c r="F46" i="18"/>
  <c r="E47" i="18"/>
  <c r="O57" i="17"/>
  <c r="P65" i="17"/>
  <c r="O65" i="17" s="1"/>
  <c r="S57" i="17"/>
  <c r="Y57" i="17"/>
  <c r="U57" i="17"/>
  <c r="V65" i="17"/>
  <c r="U65" i="17" s="1"/>
  <c r="L49" i="13"/>
  <c r="E57" i="17"/>
  <c r="F57" i="17" s="1"/>
  <c r="C57" i="17"/>
  <c r="D65" i="17"/>
  <c r="C65" i="17" s="1"/>
  <c r="G47" i="20"/>
  <c r="F47" i="18"/>
  <c r="G56" i="17"/>
  <c r="G57" i="17" s="1"/>
  <c r="C47" i="18"/>
  <c r="D55" i="18"/>
  <c r="C55" i="18" s="1"/>
  <c r="G47" i="18"/>
  <c r="N41" i="13"/>
  <c r="N43" i="13"/>
  <c r="N37" i="13"/>
  <c r="N38" i="13"/>
  <c r="P38" i="13"/>
  <c r="N33" i="13"/>
  <c r="K50" i="13"/>
  <c r="L39" i="13"/>
  <c r="L50" i="13" l="1"/>
  <c r="E3" i="7"/>
  <c r="F29" i="5" l="1"/>
  <c r="F29" i="7"/>
  <c r="F29" i="9"/>
  <c r="F19" i="5"/>
  <c r="F19" i="7"/>
  <c r="F19" i="9"/>
  <c r="E31" i="5"/>
  <c r="E34" i="5"/>
  <c r="E35" i="5"/>
  <c r="E36" i="5"/>
  <c r="E31" i="9"/>
  <c r="E34" i="9"/>
  <c r="E35" i="9"/>
  <c r="E36" i="9"/>
  <c r="E31" i="7"/>
  <c r="E34" i="7"/>
  <c r="E35" i="7"/>
  <c r="E36" i="7"/>
  <c r="E30" i="5"/>
  <c r="E30" i="9"/>
  <c r="E30" i="7"/>
  <c r="E21" i="5"/>
  <c r="E23" i="5"/>
  <c r="E24" i="5"/>
  <c r="E25" i="5"/>
  <c r="E21" i="9"/>
  <c r="E23" i="9"/>
  <c r="E24" i="9"/>
  <c r="E25" i="9"/>
  <c r="E21" i="7"/>
  <c r="E23" i="7"/>
  <c r="E24" i="7"/>
  <c r="E25" i="7"/>
  <c r="E20" i="5"/>
  <c r="E20" i="9"/>
  <c r="E20" i="7"/>
  <c r="D31" i="9"/>
  <c r="D32" i="9"/>
  <c r="D34" i="9"/>
  <c r="D35" i="9"/>
  <c r="D36" i="9"/>
  <c r="D31" i="7"/>
  <c r="D32" i="7"/>
  <c r="D34" i="7"/>
  <c r="D35" i="7"/>
  <c r="D36" i="7"/>
  <c r="D30" i="9"/>
  <c r="D30" i="7"/>
  <c r="D21" i="9"/>
  <c r="D22" i="9"/>
  <c r="D23" i="9"/>
  <c r="D24" i="9"/>
  <c r="D25" i="9"/>
  <c r="D26" i="9"/>
  <c r="D27" i="9"/>
  <c r="D21" i="7"/>
  <c r="D22" i="7"/>
  <c r="D23" i="7"/>
  <c r="D24" i="7"/>
  <c r="D25" i="7"/>
  <c r="D26" i="7"/>
  <c r="D27" i="7"/>
  <c r="D20" i="9"/>
  <c r="D20" i="7"/>
  <c r="D31" i="5"/>
  <c r="D32" i="5"/>
  <c r="D34" i="5"/>
  <c r="D35" i="5"/>
  <c r="D36" i="5"/>
  <c r="D30" i="5"/>
  <c r="D22" i="5"/>
  <c r="D23" i="5"/>
  <c r="D24" i="5"/>
  <c r="D25" i="5"/>
  <c r="D26" i="5"/>
  <c r="D27" i="5"/>
  <c r="D21" i="5"/>
  <c r="D20" i="5"/>
  <c r="J36" i="7"/>
  <c r="J36" i="9"/>
  <c r="J36" i="5"/>
  <c r="H47" i="10" l="1"/>
  <c r="H46" i="10"/>
  <c r="H45" i="10"/>
  <c r="H43" i="10"/>
  <c r="H42" i="10"/>
  <c r="H41" i="10"/>
  <c r="H47" i="8"/>
  <c r="H46" i="8"/>
  <c r="H45" i="8"/>
  <c r="H43" i="8"/>
  <c r="H42" i="8"/>
  <c r="H41" i="8"/>
  <c r="H47" i="6"/>
  <c r="H46" i="6"/>
  <c r="H45" i="6"/>
  <c r="H43" i="6"/>
  <c r="H41" i="6"/>
  <c r="H42" i="6"/>
  <c r="H47" i="1"/>
  <c r="H46" i="1"/>
  <c r="H45" i="1"/>
  <c r="H43" i="1"/>
  <c r="H42" i="1"/>
  <c r="H41" i="1"/>
  <c r="B19" i="16" l="1"/>
  <c r="B18" i="16"/>
  <c r="B17" i="16"/>
  <c r="B16" i="16"/>
  <c r="B15" i="16"/>
  <c r="B38" i="16"/>
  <c r="B37" i="16"/>
  <c r="B36" i="16"/>
  <c r="B35" i="16"/>
  <c r="B34" i="16"/>
  <c r="B33" i="16"/>
  <c r="B28" i="16"/>
  <c r="B27" i="16"/>
  <c r="B26" i="16"/>
  <c r="B24" i="16"/>
  <c r="B23" i="16"/>
  <c r="M54" i="16"/>
  <c r="M48" i="16"/>
  <c r="J54" i="16"/>
  <c r="J48" i="16"/>
  <c r="G54" i="16"/>
  <c r="G48" i="16"/>
  <c r="D54" i="16"/>
  <c r="D48" i="16"/>
  <c r="B50" i="16" l="1"/>
  <c r="I14" i="9" l="1"/>
  <c r="I13" i="9"/>
  <c r="I12" i="9"/>
  <c r="I11" i="9"/>
  <c r="I10" i="9"/>
  <c r="I9" i="9"/>
  <c r="I8" i="9"/>
  <c r="I14" i="7"/>
  <c r="I13" i="7"/>
  <c r="I12" i="7"/>
  <c r="I11" i="7"/>
  <c r="I10" i="7"/>
  <c r="I9" i="7"/>
  <c r="I8" i="7"/>
  <c r="I14" i="5"/>
  <c r="I13" i="5"/>
  <c r="I12" i="5"/>
  <c r="I11" i="5"/>
  <c r="I10" i="5"/>
  <c r="I9" i="5"/>
  <c r="I8" i="5"/>
  <c r="B21" i="10"/>
  <c r="B22" i="10"/>
  <c r="B23" i="10"/>
  <c r="B24" i="10"/>
  <c r="B25" i="10"/>
  <c r="B20" i="10"/>
  <c r="B19" i="10"/>
  <c r="B13" i="10"/>
  <c r="B14" i="10"/>
  <c r="B15" i="10"/>
  <c r="B12" i="10"/>
  <c r="B21" i="8"/>
  <c r="B22" i="8"/>
  <c r="B23" i="8"/>
  <c r="B24" i="8"/>
  <c r="B25" i="8"/>
  <c r="B20" i="8"/>
  <c r="B19" i="8"/>
  <c r="B13" i="8"/>
  <c r="B14" i="8"/>
  <c r="B15" i="8"/>
  <c r="B12" i="8"/>
  <c r="B20" i="6"/>
  <c r="B21" i="6"/>
  <c r="B22" i="6"/>
  <c r="B23" i="6"/>
  <c r="B24" i="6"/>
  <c r="B25" i="6"/>
  <c r="B19" i="6"/>
  <c r="B13" i="6"/>
  <c r="B14" i="6"/>
  <c r="B15" i="6"/>
  <c r="B12" i="6"/>
  <c r="AI10" i="15"/>
  <c r="AH424" i="15"/>
  <c r="AG424" i="15"/>
  <c r="AF424" i="15"/>
  <c r="AE424" i="15"/>
  <c r="AI415" i="15"/>
  <c r="AH415" i="15"/>
  <c r="AG415" i="15"/>
  <c r="AF415" i="15"/>
  <c r="AE415" i="15"/>
  <c r="AI408" i="15"/>
  <c r="AH408" i="15"/>
  <c r="AG408" i="15"/>
  <c r="AF408" i="15"/>
  <c r="AE408" i="15"/>
  <c r="AI401" i="15"/>
  <c r="AH401" i="15"/>
  <c r="AG401" i="15"/>
  <c r="AF401" i="15"/>
  <c r="AE401" i="15"/>
  <c r="AI394" i="15"/>
  <c r="AH394" i="15"/>
  <c r="AG394" i="15"/>
  <c r="AF394" i="15"/>
  <c r="AE394" i="15"/>
  <c r="AI386" i="15"/>
  <c r="AH386" i="15"/>
  <c r="AG386" i="15"/>
  <c r="AF386" i="15"/>
  <c r="AE386" i="15"/>
  <c r="AI378" i="15"/>
  <c r="AH378" i="15"/>
  <c r="AG378" i="15"/>
  <c r="AF378" i="15"/>
  <c r="AE378" i="15"/>
  <c r="AI370" i="15"/>
  <c r="AG370" i="15"/>
  <c r="AF370" i="15"/>
  <c r="AE370" i="15"/>
  <c r="AH370" i="15"/>
  <c r="AI362" i="15"/>
  <c r="AH362" i="15"/>
  <c r="AG362" i="15"/>
  <c r="AF362" i="15"/>
  <c r="AE362" i="15"/>
  <c r="AI354" i="15"/>
  <c r="AH354" i="15"/>
  <c r="AG354" i="15"/>
  <c r="AF354" i="15"/>
  <c r="AE354" i="15"/>
  <c r="AI346" i="15"/>
  <c r="AH346" i="15"/>
  <c r="AG346" i="15"/>
  <c r="AF346" i="15"/>
  <c r="AE346" i="15"/>
  <c r="AI338" i="15"/>
  <c r="AH338" i="15"/>
  <c r="AG338" i="15"/>
  <c r="AF338" i="15"/>
  <c r="AE338" i="15"/>
  <c r="AI330" i="15"/>
  <c r="AH330" i="15"/>
  <c r="AG330" i="15"/>
  <c r="AF330" i="15"/>
  <c r="AE330" i="15"/>
  <c r="AI322" i="15"/>
  <c r="AH322" i="15"/>
  <c r="AG322" i="15"/>
  <c r="AF322" i="15"/>
  <c r="AE322" i="15"/>
  <c r="AI314" i="15"/>
  <c r="AH314" i="15"/>
  <c r="AG314" i="15"/>
  <c r="AF314" i="15"/>
  <c r="AE314" i="15"/>
  <c r="AI306" i="15"/>
  <c r="AH306" i="15"/>
  <c r="AG306" i="15"/>
  <c r="AF306" i="15"/>
  <c r="AE306" i="15"/>
  <c r="AI298" i="15"/>
  <c r="AH298" i="15"/>
  <c r="AG298" i="15"/>
  <c r="AF298" i="15"/>
  <c r="AE298" i="15"/>
  <c r="AI290" i="15"/>
  <c r="AH290" i="15"/>
  <c r="AG290" i="15"/>
  <c r="AF290" i="15"/>
  <c r="AE290" i="15"/>
  <c r="AI282" i="15"/>
  <c r="AH282" i="15"/>
  <c r="AG282" i="15"/>
  <c r="AF282" i="15"/>
  <c r="AE282" i="15"/>
  <c r="AI274" i="15"/>
  <c r="AH274" i="15"/>
  <c r="AG274" i="15"/>
  <c r="AF274" i="15"/>
  <c r="AE274" i="15"/>
  <c r="AI266" i="15"/>
  <c r="AH266" i="15"/>
  <c r="AG266" i="15"/>
  <c r="AF266" i="15"/>
  <c r="AE266" i="15"/>
  <c r="AI258" i="15"/>
  <c r="AH258" i="15"/>
  <c r="AG258" i="15"/>
  <c r="AF258" i="15"/>
  <c r="AE258" i="15"/>
  <c r="AI250" i="15"/>
  <c r="AH250" i="15"/>
  <c r="AG250" i="15"/>
  <c r="AF250" i="15"/>
  <c r="AE250" i="15"/>
  <c r="AI242" i="15"/>
  <c r="AH242" i="15"/>
  <c r="AG242" i="15"/>
  <c r="AF242" i="15"/>
  <c r="AE242" i="15"/>
  <c r="AI234" i="15"/>
  <c r="AH234" i="15"/>
  <c r="AG234" i="15"/>
  <c r="AF234" i="15"/>
  <c r="AE234" i="15"/>
  <c r="AI226" i="15"/>
  <c r="AH226" i="15"/>
  <c r="AG226" i="15"/>
  <c r="AF226" i="15"/>
  <c r="AE226" i="15"/>
  <c r="AI218" i="15"/>
  <c r="AH218" i="15"/>
  <c r="AG218" i="15"/>
  <c r="AF218" i="15"/>
  <c r="AE218" i="15"/>
  <c r="AI210" i="15"/>
  <c r="AH210" i="15"/>
  <c r="AG210" i="15"/>
  <c r="AF210" i="15"/>
  <c r="AE210" i="15"/>
  <c r="AI202" i="15"/>
  <c r="AH202" i="15"/>
  <c r="AG202" i="15"/>
  <c r="AF202" i="15"/>
  <c r="AE202" i="15"/>
  <c r="AI194" i="15"/>
  <c r="AH194" i="15"/>
  <c r="AG194" i="15"/>
  <c r="AF194" i="15"/>
  <c r="AE194" i="15"/>
  <c r="AI186" i="15"/>
  <c r="AH186" i="15"/>
  <c r="AG186" i="15"/>
  <c r="AF186" i="15"/>
  <c r="AE186" i="15"/>
  <c r="AI178" i="15"/>
  <c r="AH178" i="15"/>
  <c r="AG178" i="15"/>
  <c r="AF178" i="15"/>
  <c r="AE178" i="15"/>
  <c r="AI170" i="15"/>
  <c r="AH170" i="15"/>
  <c r="AG170" i="15"/>
  <c r="AF170" i="15"/>
  <c r="AE170" i="15"/>
  <c r="AI162" i="15"/>
  <c r="AH162" i="15"/>
  <c r="AG162" i="15"/>
  <c r="AF162" i="15"/>
  <c r="AE162" i="15"/>
  <c r="AI154" i="15"/>
  <c r="AH154" i="15"/>
  <c r="AG154" i="15"/>
  <c r="AF154" i="15"/>
  <c r="AE154" i="15"/>
  <c r="AI146" i="15"/>
  <c r="AH146" i="15"/>
  <c r="AG146" i="15"/>
  <c r="AF146" i="15"/>
  <c r="AE146" i="15"/>
  <c r="AI138" i="15"/>
  <c r="AH138" i="15"/>
  <c r="AG138" i="15"/>
  <c r="AF138" i="15"/>
  <c r="AE138" i="15"/>
  <c r="AI130" i="15"/>
  <c r="AH130" i="15"/>
  <c r="AG130" i="15"/>
  <c r="AF130" i="15"/>
  <c r="AE130" i="15"/>
  <c r="AI122" i="15"/>
  <c r="AH122" i="15"/>
  <c r="AG122" i="15"/>
  <c r="AF122" i="15"/>
  <c r="AE122" i="15"/>
  <c r="AI114" i="15"/>
  <c r="AH114" i="15"/>
  <c r="AG114" i="15"/>
  <c r="AF114" i="15"/>
  <c r="AE114" i="15"/>
  <c r="AI106" i="15"/>
  <c r="AH106" i="15"/>
  <c r="AG106" i="15"/>
  <c r="AF106" i="15"/>
  <c r="AE106" i="15"/>
  <c r="AI98" i="15"/>
  <c r="AH98" i="15"/>
  <c r="AG98" i="15"/>
  <c r="AF98" i="15"/>
  <c r="AE98" i="15"/>
  <c r="AI90" i="15"/>
  <c r="AH90" i="15"/>
  <c r="AG90" i="15"/>
  <c r="AF90" i="15"/>
  <c r="AE90" i="15"/>
  <c r="AI82" i="15"/>
  <c r="AH82" i="15"/>
  <c r="AG82" i="15"/>
  <c r="AF82" i="15"/>
  <c r="AE82" i="15"/>
  <c r="AI74" i="15"/>
  <c r="AH74" i="15"/>
  <c r="AG74" i="15"/>
  <c r="AF74" i="15"/>
  <c r="AE74" i="15"/>
  <c r="AI66" i="15"/>
  <c r="AH66" i="15"/>
  <c r="AG66" i="15"/>
  <c r="AF66" i="15"/>
  <c r="AE66" i="15"/>
  <c r="AI58" i="15"/>
  <c r="AH58" i="15"/>
  <c r="AG58" i="15"/>
  <c r="AF58" i="15"/>
  <c r="AE58" i="15"/>
  <c r="AI50" i="15"/>
  <c r="AH50" i="15"/>
  <c r="AG50" i="15"/>
  <c r="AF50" i="15"/>
  <c r="AE50" i="15"/>
  <c r="AI42" i="15"/>
  <c r="AH42" i="15"/>
  <c r="AG42" i="15"/>
  <c r="AF42" i="15"/>
  <c r="AE42" i="15"/>
  <c r="AI34" i="15"/>
  <c r="AH34" i="15"/>
  <c r="AG34" i="15"/>
  <c r="AF34" i="15"/>
  <c r="AE34" i="15"/>
  <c r="AI26" i="15"/>
  <c r="AH26" i="15"/>
  <c r="AG26" i="15"/>
  <c r="AF26" i="15"/>
  <c r="AE26" i="15"/>
  <c r="AI18" i="15"/>
  <c r="AH18" i="15"/>
  <c r="AG18" i="15"/>
  <c r="AF18" i="15"/>
  <c r="AE18" i="15"/>
  <c r="AH10" i="15"/>
  <c r="AG10" i="15"/>
  <c r="AF10" i="15"/>
  <c r="AE10" i="15"/>
  <c r="I15" i="9" l="1"/>
  <c r="I15" i="7"/>
  <c r="F33" i="7" s="1"/>
  <c r="C33" i="7" s="1"/>
  <c r="I15" i="5"/>
  <c r="M38" i="16"/>
  <c r="M37" i="16"/>
  <c r="M36" i="16"/>
  <c r="M35" i="16"/>
  <c r="M34" i="16"/>
  <c r="M33" i="16"/>
  <c r="M32" i="16"/>
  <c r="M30" i="16"/>
  <c r="M29" i="16"/>
  <c r="M28" i="16"/>
  <c r="M27" i="16"/>
  <c r="M26" i="16"/>
  <c r="M25" i="16"/>
  <c r="M24" i="16"/>
  <c r="M23" i="16"/>
  <c r="M22" i="16"/>
  <c r="M11" i="16"/>
  <c r="M10" i="16"/>
  <c r="M7" i="16"/>
  <c r="L19" i="16" s="1"/>
  <c r="M6" i="16"/>
  <c r="L18" i="16" s="1"/>
  <c r="M5" i="16"/>
  <c r="L17" i="16" s="1"/>
  <c r="M4" i="16"/>
  <c r="L16" i="16" s="1"/>
  <c r="M3" i="16"/>
  <c r="L15" i="16" s="1"/>
  <c r="N57" i="16"/>
  <c r="N55" i="16"/>
  <c r="N54" i="16"/>
  <c r="N48" i="16"/>
  <c r="J38" i="16"/>
  <c r="J37" i="16"/>
  <c r="J36" i="16"/>
  <c r="J35" i="16"/>
  <c r="J34" i="16"/>
  <c r="J33" i="16"/>
  <c r="J30" i="16"/>
  <c r="J29" i="16"/>
  <c r="J28" i="16"/>
  <c r="J27" i="16"/>
  <c r="J26" i="16"/>
  <c r="J25" i="16"/>
  <c r="J24" i="16"/>
  <c r="J23" i="16"/>
  <c r="J11" i="16"/>
  <c r="J10" i="16"/>
  <c r="J7" i="16"/>
  <c r="I19" i="16" s="1"/>
  <c r="J6" i="16"/>
  <c r="I18" i="16" s="1"/>
  <c r="J5" i="16"/>
  <c r="I17" i="16" s="1"/>
  <c r="J4" i="16"/>
  <c r="I16" i="16" s="1"/>
  <c r="J3" i="16"/>
  <c r="I15" i="16" s="1"/>
  <c r="K57" i="16"/>
  <c r="K55" i="16"/>
  <c r="K54" i="16"/>
  <c r="K48" i="16"/>
  <c r="G38" i="16"/>
  <c r="G37" i="16"/>
  <c r="G36" i="16"/>
  <c r="G35" i="16"/>
  <c r="G34" i="16"/>
  <c r="G33" i="16"/>
  <c r="G30" i="16"/>
  <c r="G29" i="16"/>
  <c r="G28" i="16"/>
  <c r="G27" i="16"/>
  <c r="G26" i="16"/>
  <c r="G25" i="16"/>
  <c r="G24" i="16"/>
  <c r="G23" i="16"/>
  <c r="G11" i="16"/>
  <c r="G10" i="16"/>
  <c r="K75" i="10"/>
  <c r="F75" i="10"/>
  <c r="E75" i="10"/>
  <c r="K74" i="10"/>
  <c r="F74" i="10"/>
  <c r="E74" i="10"/>
  <c r="K73" i="10"/>
  <c r="F73" i="10"/>
  <c r="E73" i="10"/>
  <c r="K72" i="10"/>
  <c r="F72" i="10"/>
  <c r="E72" i="10"/>
  <c r="H68" i="10"/>
  <c r="G68" i="10"/>
  <c r="J68" i="10" s="1"/>
  <c r="H67" i="10"/>
  <c r="G67" i="10"/>
  <c r="J67" i="10" s="1"/>
  <c r="H66" i="10"/>
  <c r="G66" i="10"/>
  <c r="H65" i="10"/>
  <c r="G65" i="10"/>
  <c r="J65" i="10" s="1"/>
  <c r="H64" i="10"/>
  <c r="G64" i="10"/>
  <c r="H63" i="10"/>
  <c r="G63" i="10"/>
  <c r="J63" i="10" s="1"/>
  <c r="H62" i="10"/>
  <c r="G62" i="10"/>
  <c r="J62" i="10" s="1"/>
  <c r="H61" i="10"/>
  <c r="G61" i="10"/>
  <c r="M60" i="10"/>
  <c r="O60" i="10" s="1"/>
  <c r="G60" i="10"/>
  <c r="M59" i="10"/>
  <c r="M58" i="10"/>
  <c r="G58" i="10"/>
  <c r="L47" i="10"/>
  <c r="N47" i="10" s="1"/>
  <c r="L46" i="10"/>
  <c r="N46" i="10" s="1"/>
  <c r="L45" i="10"/>
  <c r="N45" i="10" s="1"/>
  <c r="L43" i="10"/>
  <c r="L42" i="10"/>
  <c r="N42" i="10" s="1"/>
  <c r="K39" i="10"/>
  <c r="J39" i="10"/>
  <c r="I39" i="10"/>
  <c r="L38" i="10"/>
  <c r="H38" i="10"/>
  <c r="L37" i="10"/>
  <c r="H37" i="10"/>
  <c r="L36" i="10"/>
  <c r="N36" i="10" s="1"/>
  <c r="H36" i="10"/>
  <c r="L35" i="10"/>
  <c r="N35" i="10" s="1"/>
  <c r="H35" i="10"/>
  <c r="L34" i="10"/>
  <c r="N34" i="10" s="1"/>
  <c r="H34" i="10"/>
  <c r="L33" i="10"/>
  <c r="H33" i="10"/>
  <c r="L32" i="10"/>
  <c r="N32" i="10" s="1"/>
  <c r="H32" i="10"/>
  <c r="L31" i="10"/>
  <c r="N31" i="10" s="1"/>
  <c r="H31" i="10"/>
  <c r="G25" i="10"/>
  <c r="H25" i="10"/>
  <c r="G24" i="10"/>
  <c r="H24" i="10"/>
  <c r="I24" i="10" s="1"/>
  <c r="H23" i="10"/>
  <c r="G23" i="10"/>
  <c r="F26" i="10"/>
  <c r="F11" i="10" s="1"/>
  <c r="F17" i="10" s="1"/>
  <c r="C26" i="10"/>
  <c r="C11" i="10" s="1"/>
  <c r="C17" i="10" s="1"/>
  <c r="H22" i="10"/>
  <c r="K21" i="10"/>
  <c r="G21" i="10"/>
  <c r="H21" i="10"/>
  <c r="I21" i="10" s="1"/>
  <c r="K20" i="10"/>
  <c r="G20" i="10"/>
  <c r="H20" i="10"/>
  <c r="K19" i="10"/>
  <c r="H19" i="10"/>
  <c r="I19" i="10" s="1"/>
  <c r="G19" i="10"/>
  <c r="L67" i="10"/>
  <c r="K15" i="10"/>
  <c r="G15" i="10"/>
  <c r="H15" i="10"/>
  <c r="K14" i="10"/>
  <c r="G14" i="10"/>
  <c r="H14" i="10"/>
  <c r="K13" i="10"/>
  <c r="H13" i="10"/>
  <c r="G13" i="10"/>
  <c r="K12" i="10"/>
  <c r="G12" i="10"/>
  <c r="H12" i="10"/>
  <c r="D6" i="10"/>
  <c r="C4" i="20" s="1"/>
  <c r="O5" i="10"/>
  <c r="M4" i="10"/>
  <c r="L11" i="16" s="1"/>
  <c r="E4" i="10"/>
  <c r="K75" i="8"/>
  <c r="F75" i="8"/>
  <c r="E75" i="8"/>
  <c r="K74" i="8"/>
  <c r="F74" i="8"/>
  <c r="E74" i="8"/>
  <c r="K73" i="8"/>
  <c r="F73" i="8"/>
  <c r="E73" i="8"/>
  <c r="K72" i="8"/>
  <c r="F72" i="8"/>
  <c r="E72" i="8"/>
  <c r="H68" i="8"/>
  <c r="G68" i="8"/>
  <c r="H67" i="8"/>
  <c r="G67" i="8"/>
  <c r="J67" i="8" s="1"/>
  <c r="H66" i="8"/>
  <c r="G66" i="8"/>
  <c r="J66" i="8" s="1"/>
  <c r="H65" i="8"/>
  <c r="G65" i="8"/>
  <c r="H64" i="8"/>
  <c r="G64" i="8"/>
  <c r="J64" i="8" s="1"/>
  <c r="H63" i="8"/>
  <c r="G63" i="8"/>
  <c r="J63" i="8" s="1"/>
  <c r="H62" i="8"/>
  <c r="G62" i="8"/>
  <c r="J62" i="8" s="1"/>
  <c r="H61" i="8"/>
  <c r="G61" i="8"/>
  <c r="J61" i="8" s="1"/>
  <c r="M60" i="8"/>
  <c r="O60" i="8" s="1"/>
  <c r="G60" i="8"/>
  <c r="J60" i="8" s="1"/>
  <c r="M59" i="8"/>
  <c r="M58" i="8"/>
  <c r="O58" i="8" s="1"/>
  <c r="G58" i="8"/>
  <c r="H58" i="8" s="1"/>
  <c r="L47" i="8"/>
  <c r="N47" i="8" s="1"/>
  <c r="L46" i="8"/>
  <c r="N46" i="8" s="1"/>
  <c r="L45" i="8"/>
  <c r="N45" i="8" s="1"/>
  <c r="L43" i="8"/>
  <c r="N43" i="8" s="1"/>
  <c r="L42" i="8"/>
  <c r="N42" i="8" s="1"/>
  <c r="K39" i="8"/>
  <c r="J39" i="8"/>
  <c r="L38" i="8"/>
  <c r="H38" i="8"/>
  <c r="L37" i="8"/>
  <c r="H37" i="8"/>
  <c r="L36" i="8"/>
  <c r="N36" i="8" s="1"/>
  <c r="H36" i="8"/>
  <c r="L35" i="8"/>
  <c r="N35" i="8" s="1"/>
  <c r="H35" i="8"/>
  <c r="L34" i="8"/>
  <c r="N34" i="8" s="1"/>
  <c r="H34" i="8"/>
  <c r="L33" i="8"/>
  <c r="H33" i="8"/>
  <c r="L32" i="8"/>
  <c r="N32" i="8" s="1"/>
  <c r="H32" i="8"/>
  <c r="L31" i="8"/>
  <c r="N31" i="8" s="1"/>
  <c r="H31" i="8"/>
  <c r="G25" i="8"/>
  <c r="H25" i="8"/>
  <c r="G24" i="8"/>
  <c r="H24" i="8"/>
  <c r="I24" i="8" s="1"/>
  <c r="G23" i="8"/>
  <c r="H23" i="8"/>
  <c r="I23" i="8" s="1"/>
  <c r="F26" i="8"/>
  <c r="F11" i="8" s="1"/>
  <c r="F17" i="8" s="1"/>
  <c r="H22" i="8"/>
  <c r="I22" i="8" s="1"/>
  <c r="K21" i="8"/>
  <c r="G21" i="8"/>
  <c r="H21" i="8"/>
  <c r="I21" i="8" s="1"/>
  <c r="K20" i="8"/>
  <c r="G20" i="8"/>
  <c r="H20" i="8"/>
  <c r="I20" i="8" s="1"/>
  <c r="K19" i="8"/>
  <c r="G19" i="8"/>
  <c r="H19" i="8"/>
  <c r="K15" i="8"/>
  <c r="G15" i="8"/>
  <c r="H15" i="8"/>
  <c r="K14" i="8"/>
  <c r="G14" i="8"/>
  <c r="H14" i="8"/>
  <c r="K13" i="8"/>
  <c r="G13" i="8"/>
  <c r="H13" i="8"/>
  <c r="K12" i="8"/>
  <c r="G12" i="8"/>
  <c r="H12" i="8"/>
  <c r="D6" i="8"/>
  <c r="C4" i="19" s="1"/>
  <c r="O5" i="8"/>
  <c r="P4" i="8"/>
  <c r="E4" i="8"/>
  <c r="K75" i="6"/>
  <c r="F75" i="6"/>
  <c r="E75" i="6"/>
  <c r="K74" i="6"/>
  <c r="F74" i="6"/>
  <c r="E74" i="6"/>
  <c r="K73" i="6"/>
  <c r="L73" i="6" s="1"/>
  <c r="F73" i="6"/>
  <c r="E73" i="6"/>
  <c r="K72" i="6"/>
  <c r="F72" i="6"/>
  <c r="E72" i="6"/>
  <c r="H68" i="6"/>
  <c r="G68" i="6"/>
  <c r="J68" i="6" s="1"/>
  <c r="H67" i="6"/>
  <c r="G67" i="6"/>
  <c r="J67" i="6" s="1"/>
  <c r="H66" i="6"/>
  <c r="G66" i="6"/>
  <c r="J66" i="6" s="1"/>
  <c r="H65" i="6"/>
  <c r="G65" i="6"/>
  <c r="H64" i="6"/>
  <c r="G64" i="6"/>
  <c r="J64" i="6" s="1"/>
  <c r="H63" i="6"/>
  <c r="G63" i="6"/>
  <c r="J63" i="6" s="1"/>
  <c r="H62" i="6"/>
  <c r="G62" i="6"/>
  <c r="J62" i="6" s="1"/>
  <c r="H61" i="6"/>
  <c r="G61" i="6"/>
  <c r="J61" i="6" s="1"/>
  <c r="M60" i="6"/>
  <c r="G60" i="6"/>
  <c r="M59" i="6"/>
  <c r="M58" i="6"/>
  <c r="G58" i="6"/>
  <c r="H58" i="6" s="1"/>
  <c r="I58" i="6" s="1"/>
  <c r="L47" i="6"/>
  <c r="N47" i="6" s="1"/>
  <c r="L46" i="6"/>
  <c r="N46" i="6" s="1"/>
  <c r="L45" i="6"/>
  <c r="N45" i="6" s="1"/>
  <c r="L43" i="6"/>
  <c r="L42" i="6"/>
  <c r="N42" i="6" s="1"/>
  <c r="K39" i="6"/>
  <c r="J39" i="6"/>
  <c r="J50" i="6" s="1"/>
  <c r="L38" i="6"/>
  <c r="H38" i="6"/>
  <c r="L37" i="6"/>
  <c r="H37" i="6"/>
  <c r="L36" i="6"/>
  <c r="N36" i="6" s="1"/>
  <c r="H36" i="6"/>
  <c r="L35" i="6"/>
  <c r="N35" i="6" s="1"/>
  <c r="H35" i="6"/>
  <c r="L34" i="6"/>
  <c r="N34" i="6" s="1"/>
  <c r="H34" i="6"/>
  <c r="L33" i="6"/>
  <c r="H33" i="6"/>
  <c r="L32" i="6"/>
  <c r="N32" i="6" s="1"/>
  <c r="H32" i="6"/>
  <c r="L31" i="6"/>
  <c r="N31" i="6" s="1"/>
  <c r="H31" i="6"/>
  <c r="G25" i="6"/>
  <c r="F25" i="13"/>
  <c r="H25" i="6"/>
  <c r="G24" i="6"/>
  <c r="H24" i="6"/>
  <c r="G23" i="6"/>
  <c r="H23" i="6"/>
  <c r="F26" i="6"/>
  <c r="F11" i="6" s="1"/>
  <c r="C26" i="6"/>
  <c r="C11" i="6" s="1"/>
  <c r="C17" i="6" s="1"/>
  <c r="H22" i="6"/>
  <c r="I22" i="6" s="1"/>
  <c r="K21" i="6"/>
  <c r="G21" i="6"/>
  <c r="H21" i="6"/>
  <c r="L21" i="6" s="1"/>
  <c r="M21" i="6" s="1"/>
  <c r="K20" i="6"/>
  <c r="G20" i="6"/>
  <c r="H20" i="6"/>
  <c r="I20" i="6" s="1"/>
  <c r="K19" i="6"/>
  <c r="H19" i="6"/>
  <c r="I19" i="6" s="1"/>
  <c r="G19" i="6"/>
  <c r="K15" i="6"/>
  <c r="G15" i="6"/>
  <c r="H15" i="6"/>
  <c r="K20" i="17" s="1"/>
  <c r="K14" i="6"/>
  <c r="G14" i="6"/>
  <c r="H14" i="6"/>
  <c r="K13" i="6"/>
  <c r="G13" i="6"/>
  <c r="H13" i="6"/>
  <c r="K12" i="6"/>
  <c r="G12" i="6"/>
  <c r="H12" i="6"/>
  <c r="K17" i="17" s="1"/>
  <c r="D6" i="6"/>
  <c r="C4" i="18" s="1"/>
  <c r="O5" i="6"/>
  <c r="P4" i="6"/>
  <c r="E4" i="6"/>
  <c r="G7" i="16"/>
  <c r="F19" i="16" s="1"/>
  <c r="G6" i="16"/>
  <c r="F18" i="16" s="1"/>
  <c r="G5" i="16"/>
  <c r="F17" i="16" s="1"/>
  <c r="G4" i="16"/>
  <c r="F16" i="16" s="1"/>
  <c r="G3" i="16"/>
  <c r="F15" i="16" s="1"/>
  <c r="H57" i="16"/>
  <c r="H55" i="16"/>
  <c r="H54" i="16"/>
  <c r="H48" i="16"/>
  <c r="I39" i="1"/>
  <c r="H38" i="1"/>
  <c r="H37" i="1"/>
  <c r="H36" i="1"/>
  <c r="H35" i="1"/>
  <c r="H34" i="1"/>
  <c r="H33" i="1"/>
  <c r="H32" i="1"/>
  <c r="H31" i="1"/>
  <c r="D22" i="16"/>
  <c r="D11" i="16"/>
  <c r="D10" i="16"/>
  <c r="O5" i="1"/>
  <c r="E57" i="16"/>
  <c r="E55" i="16"/>
  <c r="E54" i="16"/>
  <c r="E48" i="16"/>
  <c r="E32" i="16"/>
  <c r="D38" i="16"/>
  <c r="D37" i="16"/>
  <c r="D36" i="16"/>
  <c r="D35" i="16"/>
  <c r="E35" i="16" s="1"/>
  <c r="D34" i="16"/>
  <c r="D33" i="16"/>
  <c r="D30" i="16"/>
  <c r="D29" i="16"/>
  <c r="D28" i="16"/>
  <c r="D27" i="16"/>
  <c r="D26" i="16"/>
  <c r="D25" i="16"/>
  <c r="D24" i="16"/>
  <c r="D23" i="16"/>
  <c r="D7" i="16"/>
  <c r="C19" i="16" s="1"/>
  <c r="D6" i="16"/>
  <c r="C18" i="16" s="1"/>
  <c r="D5" i="16"/>
  <c r="C17" i="16" s="1"/>
  <c r="D4" i="16"/>
  <c r="C16" i="16" s="1"/>
  <c r="D3" i="16"/>
  <c r="C15" i="16" s="1"/>
  <c r="C26" i="1"/>
  <c r="F24" i="13"/>
  <c r="B25" i="13"/>
  <c r="H23" i="1"/>
  <c r="H22" i="1"/>
  <c r="I22" i="1" s="1"/>
  <c r="H21" i="1"/>
  <c r="I21" i="1" s="1"/>
  <c r="B19" i="13"/>
  <c r="B14" i="13"/>
  <c r="H13" i="1"/>
  <c r="D15" i="9"/>
  <c r="H15" i="9"/>
  <c r="G15" i="9"/>
  <c r="F15" i="9"/>
  <c r="H15" i="7"/>
  <c r="G15" i="7"/>
  <c r="F15" i="7"/>
  <c r="H15" i="5"/>
  <c r="G15" i="5"/>
  <c r="F15" i="5"/>
  <c r="C24" i="13"/>
  <c r="G22" i="1"/>
  <c r="H14" i="1"/>
  <c r="C21" i="13"/>
  <c r="C22" i="13"/>
  <c r="C23" i="13"/>
  <c r="C25" i="13"/>
  <c r="C20" i="13"/>
  <c r="C19" i="13"/>
  <c r="C14" i="13"/>
  <c r="C15" i="13"/>
  <c r="C13" i="13"/>
  <c r="C12" i="13"/>
  <c r="J21" i="13"/>
  <c r="J20" i="13"/>
  <c r="J19" i="13"/>
  <c r="F23" i="13"/>
  <c r="F21" i="13"/>
  <c r="F20" i="13"/>
  <c r="F19" i="13"/>
  <c r="J15" i="13"/>
  <c r="J14" i="13"/>
  <c r="J13" i="13"/>
  <c r="J12" i="13"/>
  <c r="F15" i="13"/>
  <c r="F14" i="13"/>
  <c r="F13" i="13"/>
  <c r="E15" i="13"/>
  <c r="E14" i="13"/>
  <c r="E13" i="13"/>
  <c r="E12" i="13"/>
  <c r="E11" i="13"/>
  <c r="K39" i="1"/>
  <c r="J39" i="1"/>
  <c r="L37" i="1"/>
  <c r="L32" i="1"/>
  <c r="L33" i="1"/>
  <c r="L47" i="1"/>
  <c r="N47" i="1" s="1"/>
  <c r="L46" i="1"/>
  <c r="N46" i="1" s="1"/>
  <c r="L45" i="1"/>
  <c r="N45" i="1" s="1"/>
  <c r="L43" i="1"/>
  <c r="L42" i="1"/>
  <c r="N42" i="1" s="1"/>
  <c r="L38" i="1"/>
  <c r="L36" i="1"/>
  <c r="N36" i="1" s="1"/>
  <c r="L35" i="1"/>
  <c r="N35" i="1" s="1"/>
  <c r="L34" i="1"/>
  <c r="N34" i="1" s="1"/>
  <c r="E3" i="9"/>
  <c r="E3" i="5"/>
  <c r="F2" i="7"/>
  <c r="F2" i="9"/>
  <c r="F2" i="5"/>
  <c r="E1" i="14"/>
  <c r="B4" i="14"/>
  <c r="G3" i="5"/>
  <c r="F6" i="6" s="1"/>
  <c r="E4" i="18" s="1"/>
  <c r="F6" i="1"/>
  <c r="E4" i="17" s="1"/>
  <c r="E6" i="13"/>
  <c r="C4" i="21" s="1"/>
  <c r="D6" i="1"/>
  <c r="F4" i="13"/>
  <c r="E4" i="1"/>
  <c r="B20" i="13"/>
  <c r="K75" i="13"/>
  <c r="F75" i="13"/>
  <c r="E75" i="13"/>
  <c r="K74" i="13"/>
  <c r="F74" i="13"/>
  <c r="E74" i="13"/>
  <c r="K73" i="13"/>
  <c r="F73" i="13"/>
  <c r="E73" i="13"/>
  <c r="K72" i="13"/>
  <c r="F72" i="13"/>
  <c r="E72" i="13"/>
  <c r="H68" i="13"/>
  <c r="G68" i="13"/>
  <c r="J68" i="13" s="1"/>
  <c r="H67" i="13"/>
  <c r="G67" i="13"/>
  <c r="H66" i="13"/>
  <c r="H62" i="13"/>
  <c r="H64" i="13"/>
  <c r="G66" i="13"/>
  <c r="J66" i="13" s="1"/>
  <c r="H65" i="13"/>
  <c r="G65" i="13"/>
  <c r="G64" i="13"/>
  <c r="J64" i="13" s="1"/>
  <c r="H63" i="13"/>
  <c r="G63" i="13"/>
  <c r="J63" i="13" s="1"/>
  <c r="G62" i="13"/>
  <c r="H61" i="13"/>
  <c r="G61" i="13"/>
  <c r="J61" i="13" s="1"/>
  <c r="M60" i="13"/>
  <c r="O60" i="13" s="1"/>
  <c r="G60" i="13"/>
  <c r="M59" i="13"/>
  <c r="M58" i="13"/>
  <c r="O58" i="13" s="1"/>
  <c r="G58" i="13"/>
  <c r="H58" i="13" s="1"/>
  <c r="H20" i="1"/>
  <c r="L20" i="1" s="1"/>
  <c r="M20" i="1" s="1"/>
  <c r="P15" i="1"/>
  <c r="P14" i="1"/>
  <c r="P13" i="1"/>
  <c r="P12" i="1"/>
  <c r="K75" i="1"/>
  <c r="F75" i="1"/>
  <c r="E75" i="1"/>
  <c r="K74" i="1"/>
  <c r="F74" i="1"/>
  <c r="E74" i="1"/>
  <c r="K73" i="1"/>
  <c r="F73" i="1"/>
  <c r="E73" i="1"/>
  <c r="K72" i="1"/>
  <c r="F72" i="1"/>
  <c r="E72" i="1"/>
  <c r="H68" i="1"/>
  <c r="G68" i="1"/>
  <c r="J68" i="1" s="1"/>
  <c r="H67" i="1"/>
  <c r="G67" i="1"/>
  <c r="J67" i="1" s="1"/>
  <c r="H66" i="1"/>
  <c r="G66" i="1"/>
  <c r="J66" i="1" s="1"/>
  <c r="H65" i="1"/>
  <c r="G65" i="1"/>
  <c r="H64" i="1"/>
  <c r="G64" i="1"/>
  <c r="J64" i="1" s="1"/>
  <c r="H63" i="1"/>
  <c r="G63" i="1"/>
  <c r="J63" i="1" s="1"/>
  <c r="H62" i="1"/>
  <c r="G62" i="1"/>
  <c r="H61" i="1"/>
  <c r="G61" i="1"/>
  <c r="J61" i="1" s="1"/>
  <c r="M60" i="1"/>
  <c r="O60" i="1" s="1"/>
  <c r="G60" i="1"/>
  <c r="J60" i="1" s="1"/>
  <c r="H60" i="1" s="1"/>
  <c r="M59" i="1"/>
  <c r="M58" i="1"/>
  <c r="O58" i="1" s="1"/>
  <c r="G58" i="1"/>
  <c r="G23" i="1"/>
  <c r="K21" i="1"/>
  <c r="G21" i="1"/>
  <c r="K20" i="1"/>
  <c r="G20" i="1"/>
  <c r="K19" i="1"/>
  <c r="G19" i="1"/>
  <c r="K15" i="1"/>
  <c r="G15" i="1"/>
  <c r="K14" i="1"/>
  <c r="G14" i="1"/>
  <c r="K13" i="1"/>
  <c r="G13" i="1"/>
  <c r="K12" i="1"/>
  <c r="P11" i="1"/>
  <c r="L41" i="1"/>
  <c r="F26" i="1"/>
  <c r="G26" i="1" s="1"/>
  <c r="L31" i="1"/>
  <c r="N31" i="1" s="1"/>
  <c r="G25" i="1"/>
  <c r="B12" i="13"/>
  <c r="J62" i="13"/>
  <c r="B22" i="13"/>
  <c r="B13" i="13"/>
  <c r="J60" i="10"/>
  <c r="B26" i="10"/>
  <c r="B11" i="10" s="1"/>
  <c r="B17" i="10" s="1"/>
  <c r="L41" i="10"/>
  <c r="L14" i="8"/>
  <c r="M14" i="8" s="1"/>
  <c r="C26" i="8"/>
  <c r="C11" i="8" s="1"/>
  <c r="C17" i="8" s="1"/>
  <c r="M33" i="8"/>
  <c r="M34" i="8"/>
  <c r="M35" i="8"/>
  <c r="M36" i="8"/>
  <c r="L58" i="8"/>
  <c r="L72" i="8"/>
  <c r="M4" i="8"/>
  <c r="I11" i="16" s="1"/>
  <c r="K11" i="16" s="1"/>
  <c r="B26" i="8"/>
  <c r="B11" i="8" s="1"/>
  <c r="B17" i="8" s="1"/>
  <c r="M37" i="8"/>
  <c r="P3" i="8"/>
  <c r="M38" i="8"/>
  <c r="M41" i="8"/>
  <c r="M42" i="8"/>
  <c r="M43" i="8"/>
  <c r="M45" i="8"/>
  <c r="M46" i="8"/>
  <c r="M47" i="8"/>
  <c r="N58" i="8"/>
  <c r="M3" i="8"/>
  <c r="I10" i="16" s="1"/>
  <c r="G22" i="8"/>
  <c r="M31" i="8"/>
  <c r="M32" i="8"/>
  <c r="L41" i="8"/>
  <c r="L60" i="8"/>
  <c r="L61" i="8"/>
  <c r="L62" i="8"/>
  <c r="L63" i="8"/>
  <c r="L64" i="8"/>
  <c r="L65" i="8"/>
  <c r="L66" i="8"/>
  <c r="L67" i="8"/>
  <c r="B26" i="6"/>
  <c r="B11" i="6" s="1"/>
  <c r="B17" i="6" s="1"/>
  <c r="M38" i="6"/>
  <c r="M45" i="6"/>
  <c r="M4" i="6"/>
  <c r="F11" i="16" s="1"/>
  <c r="F22" i="13"/>
  <c r="G22" i="6"/>
  <c r="L41" i="6"/>
  <c r="L60" i="6"/>
  <c r="G24" i="1"/>
  <c r="H25" i="1"/>
  <c r="I25" i="1" s="1"/>
  <c r="H19" i="1"/>
  <c r="L19" i="1" s="1"/>
  <c r="M19" i="1" s="1"/>
  <c r="B21" i="13"/>
  <c r="B23" i="13"/>
  <c r="F7" i="22" l="1"/>
  <c r="F33" i="5"/>
  <c r="C33" i="5" s="1"/>
  <c r="D59" i="9"/>
  <c r="F33" i="9"/>
  <c r="C33" i="9" s="1"/>
  <c r="L21" i="10"/>
  <c r="M21" i="10" s="1"/>
  <c r="N60" i="8"/>
  <c r="G26" i="6"/>
  <c r="J58" i="8"/>
  <c r="G72" i="6"/>
  <c r="J72" i="6" s="1"/>
  <c r="G11" i="6"/>
  <c r="F17" i="6"/>
  <c r="G17" i="6" s="1"/>
  <c r="I24" i="6"/>
  <c r="N38" i="6"/>
  <c r="P38" i="6"/>
  <c r="G26" i="10"/>
  <c r="N38" i="1"/>
  <c r="P38" i="1"/>
  <c r="N38" i="8"/>
  <c r="P38" i="8"/>
  <c r="AD7" i="17"/>
  <c r="AB16" i="17" s="1"/>
  <c r="E17" i="13"/>
  <c r="D57" i="9"/>
  <c r="D58" i="9"/>
  <c r="H7" i="22"/>
  <c r="D59" i="7"/>
  <c r="G7" i="22"/>
  <c r="P17" i="1"/>
  <c r="D61" i="9"/>
  <c r="D62" i="9"/>
  <c r="D60" i="9"/>
  <c r="D56" i="9"/>
  <c r="D55" i="9"/>
  <c r="Q12" i="10"/>
  <c r="N38" i="10"/>
  <c r="P38" i="10"/>
  <c r="I23" i="1"/>
  <c r="H19" i="13"/>
  <c r="I19" i="13" s="1"/>
  <c r="D57" i="7"/>
  <c r="D54" i="9"/>
  <c r="L19" i="10"/>
  <c r="M19" i="10" s="1"/>
  <c r="I22" i="10"/>
  <c r="D62" i="7"/>
  <c r="D60" i="7"/>
  <c r="D54" i="7"/>
  <c r="D56" i="7"/>
  <c r="D61" i="7"/>
  <c r="D55" i="7"/>
  <c r="D58" i="7"/>
  <c r="L64" i="6"/>
  <c r="M33" i="6"/>
  <c r="D62" i="5"/>
  <c r="D54" i="5"/>
  <c r="D59" i="5"/>
  <c r="D55" i="5"/>
  <c r="D61" i="5"/>
  <c r="D57" i="5"/>
  <c r="D58" i="5"/>
  <c r="D60" i="5"/>
  <c r="D56" i="5"/>
  <c r="N43" i="10"/>
  <c r="N41" i="10"/>
  <c r="L49" i="10"/>
  <c r="N49" i="10" s="1"/>
  <c r="N37" i="10"/>
  <c r="N33" i="10"/>
  <c r="P4" i="10"/>
  <c r="F48" i="10"/>
  <c r="M48" i="10"/>
  <c r="N41" i="8"/>
  <c r="L49" i="8"/>
  <c r="N37" i="8"/>
  <c r="N33" i="8"/>
  <c r="W19" i="17"/>
  <c r="E18" i="20"/>
  <c r="M19" i="16"/>
  <c r="N19" i="16" s="1"/>
  <c r="W20" i="17"/>
  <c r="E19" i="20"/>
  <c r="M17" i="16"/>
  <c r="W18" i="17"/>
  <c r="E17" i="20"/>
  <c r="M16" i="16"/>
  <c r="N16" i="16" s="1"/>
  <c r="W17" i="17"/>
  <c r="E16" i="20"/>
  <c r="L74" i="8"/>
  <c r="F48" i="8"/>
  <c r="M48" i="8"/>
  <c r="F34" i="8"/>
  <c r="I26" i="16" s="1"/>
  <c r="K26" i="16" s="1"/>
  <c r="F36" i="8"/>
  <c r="I28" i="16" s="1"/>
  <c r="K28" i="16" s="1"/>
  <c r="N43" i="1"/>
  <c r="N37" i="1"/>
  <c r="N33" i="1"/>
  <c r="N37" i="6"/>
  <c r="N33" i="6"/>
  <c r="N43" i="6"/>
  <c r="L19" i="6"/>
  <c r="M19" i="6" s="1"/>
  <c r="C11" i="1"/>
  <c r="C17" i="1" s="1"/>
  <c r="N41" i="6"/>
  <c r="L49" i="6"/>
  <c r="J19" i="16"/>
  <c r="K19" i="16" s="1"/>
  <c r="Q20" i="17"/>
  <c r="E19" i="19"/>
  <c r="F11" i="19"/>
  <c r="D19" i="19" s="1"/>
  <c r="J18" i="16"/>
  <c r="K18" i="16" s="1"/>
  <c r="Q19" i="17"/>
  <c r="F10" i="19"/>
  <c r="D18" i="19" s="1"/>
  <c r="E18" i="19"/>
  <c r="L13" i="8"/>
  <c r="M13" i="8" s="1"/>
  <c r="Q18" i="17"/>
  <c r="F9" i="19"/>
  <c r="D17" i="19" s="1"/>
  <c r="E17" i="19"/>
  <c r="L12" i="8"/>
  <c r="M12" i="8" s="1"/>
  <c r="Q17" i="17"/>
  <c r="E16" i="19"/>
  <c r="F8" i="19"/>
  <c r="D16" i="19" s="1"/>
  <c r="E18" i="18"/>
  <c r="G18" i="18" s="1"/>
  <c r="K19" i="17"/>
  <c r="E17" i="18"/>
  <c r="F17" i="18" s="1"/>
  <c r="K18" i="17"/>
  <c r="F8" i="21"/>
  <c r="D16" i="21" s="1"/>
  <c r="AD8" i="17"/>
  <c r="F9" i="21"/>
  <c r="D17" i="21" s="1"/>
  <c r="AD9" i="17"/>
  <c r="F10" i="21"/>
  <c r="D18" i="21" s="1"/>
  <c r="AD10" i="17"/>
  <c r="F11" i="21"/>
  <c r="D19" i="21" s="1"/>
  <c r="AD11" i="17"/>
  <c r="L58" i="6"/>
  <c r="F48" i="6"/>
  <c r="M48" i="6"/>
  <c r="F35" i="6"/>
  <c r="G35" i="6" s="1"/>
  <c r="P35" i="6" s="1"/>
  <c r="N41" i="1"/>
  <c r="L49" i="1"/>
  <c r="G19" i="16"/>
  <c r="H19" i="16" s="1"/>
  <c r="E19" i="18"/>
  <c r="D18" i="16"/>
  <c r="E18" i="16" s="1"/>
  <c r="E19" i="17"/>
  <c r="F18" i="18"/>
  <c r="D17" i="16"/>
  <c r="E17" i="16" s="1"/>
  <c r="E18" i="17"/>
  <c r="L12" i="6"/>
  <c r="M12" i="6" s="1"/>
  <c r="E16" i="18"/>
  <c r="G25" i="13"/>
  <c r="F7" i="21"/>
  <c r="D66" i="7"/>
  <c r="D69" i="7"/>
  <c r="D52" i="7"/>
  <c r="D75" i="7"/>
  <c r="C78" i="7"/>
  <c r="D77" i="7"/>
  <c r="D68" i="7"/>
  <c r="D67" i="7"/>
  <c r="D82" i="7"/>
  <c r="D53" i="7"/>
  <c r="C76" i="7"/>
  <c r="C74" i="7"/>
  <c r="D50" i="7"/>
  <c r="C73" i="7"/>
  <c r="D63" i="7"/>
  <c r="D48" i="7"/>
  <c r="D83" i="7"/>
  <c r="D47" i="7"/>
  <c r="D49" i="7"/>
  <c r="C84" i="7"/>
  <c r="D51" i="7"/>
  <c r="C79" i="7"/>
  <c r="D66" i="9"/>
  <c r="D51" i="9"/>
  <c r="D50" i="9"/>
  <c r="D75" i="9"/>
  <c r="D47" i="9"/>
  <c r="D53" i="9"/>
  <c r="D67" i="9"/>
  <c r="D63" i="9"/>
  <c r="C78" i="9"/>
  <c r="D69" i="9"/>
  <c r="D52" i="9"/>
  <c r="D83" i="9"/>
  <c r="D82" i="9"/>
  <c r="D48" i="9"/>
  <c r="D49" i="9"/>
  <c r="C74" i="9"/>
  <c r="D77" i="9"/>
  <c r="C76" i="9"/>
  <c r="D68" i="9"/>
  <c r="C73" i="9"/>
  <c r="C84" i="9"/>
  <c r="C79" i="9"/>
  <c r="D66" i="5"/>
  <c r="D53" i="5"/>
  <c r="D50" i="5"/>
  <c r="D68" i="5"/>
  <c r="C73" i="5"/>
  <c r="C76" i="5"/>
  <c r="D83" i="5"/>
  <c r="D82" i="5"/>
  <c r="D52" i="5"/>
  <c r="C84" i="5"/>
  <c r="D69" i="5"/>
  <c r="D47" i="5"/>
  <c r="D48" i="5"/>
  <c r="D51" i="5"/>
  <c r="C74" i="5"/>
  <c r="D63" i="5"/>
  <c r="D49" i="5"/>
  <c r="D67" i="5"/>
  <c r="D75" i="5"/>
  <c r="C78" i="5"/>
  <c r="D77" i="5"/>
  <c r="C79" i="5"/>
  <c r="G3" i="7"/>
  <c r="F6" i="8" s="1"/>
  <c r="E4" i="19" s="1"/>
  <c r="F48" i="1"/>
  <c r="M48" i="1"/>
  <c r="F27" i="16"/>
  <c r="H27" i="16" s="1"/>
  <c r="K12" i="13"/>
  <c r="I15" i="8"/>
  <c r="M5" i="8"/>
  <c r="N5" i="8" s="1"/>
  <c r="L65" i="6"/>
  <c r="L61" i="6"/>
  <c r="M31" i="6"/>
  <c r="M34" i="6"/>
  <c r="M46" i="6"/>
  <c r="M41" i="6"/>
  <c r="P3" i="6"/>
  <c r="M37" i="6"/>
  <c r="F37" i="6"/>
  <c r="L67" i="6"/>
  <c r="L63" i="6"/>
  <c r="M36" i="6"/>
  <c r="M43" i="6"/>
  <c r="L72" i="6"/>
  <c r="L63" i="10"/>
  <c r="M36" i="10"/>
  <c r="L66" i="6"/>
  <c r="L62" i="6"/>
  <c r="M32" i="6"/>
  <c r="M3" i="6"/>
  <c r="F10" i="16" s="1"/>
  <c r="F12" i="16" s="1"/>
  <c r="M35" i="6"/>
  <c r="M47" i="6"/>
  <c r="M42" i="6"/>
  <c r="N60" i="6"/>
  <c r="G23" i="13"/>
  <c r="H11" i="16"/>
  <c r="L15" i="6"/>
  <c r="M15" i="6" s="1"/>
  <c r="P12" i="13"/>
  <c r="L20" i="6"/>
  <c r="M20" i="6" s="1"/>
  <c r="I68" i="1"/>
  <c r="I14" i="1"/>
  <c r="H21" i="13"/>
  <c r="L21" i="13" s="1"/>
  <c r="M21" i="13" s="1"/>
  <c r="P4" i="1"/>
  <c r="F41" i="1"/>
  <c r="F34" i="6"/>
  <c r="G34" i="6" s="1"/>
  <c r="P34" i="6" s="1"/>
  <c r="F36" i="6"/>
  <c r="F28" i="16" s="1"/>
  <c r="H28" i="16" s="1"/>
  <c r="H60" i="8"/>
  <c r="H74" i="8" s="1"/>
  <c r="I62" i="6"/>
  <c r="I68" i="10"/>
  <c r="Q12" i="8"/>
  <c r="Q14" i="8"/>
  <c r="Q15" i="8"/>
  <c r="Q4" i="6"/>
  <c r="G13" i="13"/>
  <c r="K13" i="13"/>
  <c r="L20" i="8"/>
  <c r="M20" i="8" s="1"/>
  <c r="H20" i="13"/>
  <c r="L20" i="13" s="1"/>
  <c r="M20" i="13" s="1"/>
  <c r="I14" i="8"/>
  <c r="I13" i="10"/>
  <c r="I25" i="10"/>
  <c r="M39" i="16"/>
  <c r="I25" i="6"/>
  <c r="L15" i="8"/>
  <c r="M15" i="8" s="1"/>
  <c r="L73" i="8"/>
  <c r="G17" i="10"/>
  <c r="N58" i="6"/>
  <c r="F35" i="8"/>
  <c r="F37" i="8"/>
  <c r="H74" i="1"/>
  <c r="D12" i="16"/>
  <c r="Q12" i="6"/>
  <c r="D39" i="16"/>
  <c r="K19" i="13"/>
  <c r="L13" i="1"/>
  <c r="M13" i="1" s="1"/>
  <c r="M65" i="10"/>
  <c r="N65" i="10" s="1"/>
  <c r="M61" i="13"/>
  <c r="O61" i="13" s="1"/>
  <c r="O72" i="13" s="1"/>
  <c r="M31" i="16"/>
  <c r="G19" i="13"/>
  <c r="G20" i="13"/>
  <c r="K20" i="13"/>
  <c r="L66" i="10"/>
  <c r="L62" i="10"/>
  <c r="M32" i="10"/>
  <c r="M35" i="10"/>
  <c r="L12" i="10"/>
  <c r="M12" i="10" s="1"/>
  <c r="H13" i="13"/>
  <c r="AC18" i="17" s="1"/>
  <c r="M63" i="6"/>
  <c r="P5" i="10"/>
  <c r="F37" i="10"/>
  <c r="M63" i="10"/>
  <c r="N63" i="10" s="1"/>
  <c r="K21" i="13"/>
  <c r="G24" i="13"/>
  <c r="L21" i="8"/>
  <c r="M21" i="8" s="1"/>
  <c r="L65" i="10"/>
  <c r="L61" i="10"/>
  <c r="M31" i="10"/>
  <c r="M34" i="10"/>
  <c r="I12" i="10"/>
  <c r="I15" i="10"/>
  <c r="G74" i="6"/>
  <c r="J74" i="6" s="1"/>
  <c r="G74" i="10"/>
  <c r="J74" i="10" s="1"/>
  <c r="G22" i="13"/>
  <c r="L68" i="10"/>
  <c r="L64" i="10"/>
  <c r="L60" i="10"/>
  <c r="Q4" i="10"/>
  <c r="L58" i="10"/>
  <c r="M33" i="10"/>
  <c r="M64" i="1"/>
  <c r="O64" i="1" s="1"/>
  <c r="J50" i="1"/>
  <c r="J50" i="8"/>
  <c r="I20" i="1"/>
  <c r="I19" i="1"/>
  <c r="I15" i="6"/>
  <c r="Q15" i="6"/>
  <c r="I13" i="1"/>
  <c r="K15" i="13"/>
  <c r="P14" i="13"/>
  <c r="H11" i="10"/>
  <c r="H17" i="10" s="1"/>
  <c r="L14" i="1"/>
  <c r="M14" i="1" s="1"/>
  <c r="F46" i="1"/>
  <c r="G46" i="1" s="1"/>
  <c r="P46" i="1" s="1"/>
  <c r="H22" i="13"/>
  <c r="I21" i="6"/>
  <c r="G73" i="8"/>
  <c r="J73" i="8" s="1"/>
  <c r="G26" i="8"/>
  <c r="H60" i="10"/>
  <c r="I60" i="10" s="1"/>
  <c r="L68" i="1"/>
  <c r="P11" i="13"/>
  <c r="I61" i="1"/>
  <c r="L73" i="1"/>
  <c r="P13" i="13"/>
  <c r="I63" i="13"/>
  <c r="J60" i="6"/>
  <c r="I67" i="6"/>
  <c r="P3" i="10"/>
  <c r="G12" i="16"/>
  <c r="G11" i="10"/>
  <c r="G73" i="6"/>
  <c r="J73" i="6" s="1"/>
  <c r="J58" i="6"/>
  <c r="J58" i="13"/>
  <c r="Q14" i="1"/>
  <c r="I61" i="13"/>
  <c r="I67" i="8"/>
  <c r="Q13" i="10"/>
  <c r="I62" i="10"/>
  <c r="M12" i="16"/>
  <c r="Q4" i="8"/>
  <c r="H23" i="13"/>
  <c r="G72" i="8"/>
  <c r="J72" i="8" s="1"/>
  <c r="L39" i="8"/>
  <c r="G73" i="1"/>
  <c r="J73" i="1" s="1"/>
  <c r="M62" i="13"/>
  <c r="O62" i="13" s="1"/>
  <c r="H14" i="13"/>
  <c r="AC19" i="17" s="1"/>
  <c r="G75" i="6"/>
  <c r="J75" i="6" s="1"/>
  <c r="M67" i="6"/>
  <c r="N67" i="6" s="1"/>
  <c r="M68" i="6"/>
  <c r="N68" i="6" s="1"/>
  <c r="M64" i="8"/>
  <c r="N64" i="8" s="1"/>
  <c r="J12" i="16"/>
  <c r="M62" i="10"/>
  <c r="O62" i="10" s="1"/>
  <c r="M67" i="10"/>
  <c r="N67" i="10" s="1"/>
  <c r="M63" i="13"/>
  <c r="O63" i="13" s="1"/>
  <c r="M68" i="1"/>
  <c r="O68" i="1" s="1"/>
  <c r="M62" i="6"/>
  <c r="M66" i="1"/>
  <c r="O66" i="1" s="1"/>
  <c r="I62" i="13"/>
  <c r="H75" i="1"/>
  <c r="H73" i="6"/>
  <c r="M63" i="1"/>
  <c r="N63" i="1" s="1"/>
  <c r="M62" i="8"/>
  <c r="O62" i="8" s="1"/>
  <c r="I65" i="1"/>
  <c r="I61" i="10"/>
  <c r="M61" i="1"/>
  <c r="O61" i="1" s="1"/>
  <c r="O72" i="1" s="1"/>
  <c r="I66" i="13"/>
  <c r="N49" i="1"/>
  <c r="P15" i="13"/>
  <c r="L62" i="1"/>
  <c r="Q13" i="1"/>
  <c r="L67" i="1"/>
  <c r="L58" i="1"/>
  <c r="M3" i="1"/>
  <c r="L64" i="1"/>
  <c r="L66" i="1"/>
  <c r="F43" i="1"/>
  <c r="M41" i="1"/>
  <c r="M42" i="1"/>
  <c r="M33" i="1"/>
  <c r="M37" i="1"/>
  <c r="L65" i="1"/>
  <c r="M32" i="1"/>
  <c r="M38" i="1"/>
  <c r="L60" i="1"/>
  <c r="L72" i="1"/>
  <c r="M43" i="1"/>
  <c r="M47" i="1"/>
  <c r="M49" i="1"/>
  <c r="M35" i="1"/>
  <c r="L75" i="1"/>
  <c r="M36" i="1"/>
  <c r="N60" i="1"/>
  <c r="L74" i="1"/>
  <c r="M4" i="1"/>
  <c r="F42" i="1"/>
  <c r="C34" i="16" s="1"/>
  <c r="E34" i="16" s="1"/>
  <c r="L61" i="1"/>
  <c r="M34" i="1"/>
  <c r="N58" i="1"/>
  <c r="L63" i="1"/>
  <c r="M45" i="1"/>
  <c r="M46" i="1"/>
  <c r="M31" i="1"/>
  <c r="K10" i="16"/>
  <c r="G8" i="16"/>
  <c r="D8" i="16"/>
  <c r="M8" i="16"/>
  <c r="J8" i="16"/>
  <c r="I58" i="8"/>
  <c r="H73" i="8"/>
  <c r="L20" i="16"/>
  <c r="N17" i="16"/>
  <c r="I64" i="1"/>
  <c r="H60" i="6"/>
  <c r="M64" i="6"/>
  <c r="H75" i="6"/>
  <c r="M67" i="8"/>
  <c r="I50" i="10"/>
  <c r="G73" i="10"/>
  <c r="J73" i="10" s="1"/>
  <c r="I64" i="10"/>
  <c r="I66" i="10"/>
  <c r="I67" i="10"/>
  <c r="Q3" i="8"/>
  <c r="H58" i="1"/>
  <c r="I58" i="1" s="1"/>
  <c r="I63" i="1"/>
  <c r="I66" i="1"/>
  <c r="H75" i="13"/>
  <c r="D31" i="16"/>
  <c r="L75" i="6"/>
  <c r="I64" i="6"/>
  <c r="I64" i="8"/>
  <c r="I68" i="8"/>
  <c r="I65" i="10"/>
  <c r="F11" i="1"/>
  <c r="J58" i="1"/>
  <c r="M64" i="13"/>
  <c r="O64" i="13" s="1"/>
  <c r="I64" i="13"/>
  <c r="G75" i="8"/>
  <c r="J75" i="8" s="1"/>
  <c r="L39" i="10"/>
  <c r="H75" i="10"/>
  <c r="Q14" i="10"/>
  <c r="Q15" i="10"/>
  <c r="L15" i="10"/>
  <c r="M15" i="10" s="1"/>
  <c r="H26" i="8"/>
  <c r="F26" i="13"/>
  <c r="G26" i="13" s="1"/>
  <c r="I20" i="16"/>
  <c r="P5" i="8"/>
  <c r="F32" i="8"/>
  <c r="I24" i="16" s="1"/>
  <c r="K24" i="16" s="1"/>
  <c r="L74" i="6"/>
  <c r="F31" i="8"/>
  <c r="P5" i="6"/>
  <c r="F31" i="6"/>
  <c r="G31" i="6" s="1"/>
  <c r="P31" i="6" s="1"/>
  <c r="M3" i="10"/>
  <c r="L10" i="16" s="1"/>
  <c r="N10" i="16" s="1"/>
  <c r="H11" i="8"/>
  <c r="H17" i="8" s="1"/>
  <c r="K50" i="10"/>
  <c r="J50" i="10"/>
  <c r="K50" i="8"/>
  <c r="L39" i="6"/>
  <c r="K50" i="6"/>
  <c r="I50" i="1"/>
  <c r="K50" i="1"/>
  <c r="F47" i="1"/>
  <c r="G21" i="13"/>
  <c r="L21" i="1"/>
  <c r="M21" i="1" s="1"/>
  <c r="G15" i="13"/>
  <c r="G14" i="13"/>
  <c r="P5" i="1"/>
  <c r="F31" i="1"/>
  <c r="G31" i="1" s="1"/>
  <c r="P31" i="1" s="1"/>
  <c r="C20" i="16"/>
  <c r="F33" i="1"/>
  <c r="J8" i="5"/>
  <c r="J9" i="5" s="1"/>
  <c r="J10" i="5" s="1"/>
  <c r="J11" i="5" s="1"/>
  <c r="J12" i="5" s="1"/>
  <c r="J13" i="5" s="1"/>
  <c r="J14" i="5" s="1"/>
  <c r="C3" i="18" s="1"/>
  <c r="E5" i="1"/>
  <c r="D15" i="5"/>
  <c r="E15" i="5"/>
  <c r="D15" i="7"/>
  <c r="C15" i="5"/>
  <c r="C15" i="7"/>
  <c r="I60" i="1"/>
  <c r="H11" i="6"/>
  <c r="H17" i="6" s="1"/>
  <c r="C26" i="13"/>
  <c r="C11" i="13" s="1"/>
  <c r="C17" i="13" s="1"/>
  <c r="H25" i="13"/>
  <c r="B15" i="13"/>
  <c r="H15" i="13" s="1"/>
  <c r="H15" i="1"/>
  <c r="E20" i="17" s="1"/>
  <c r="B24" i="13"/>
  <c r="H24" i="1"/>
  <c r="B26" i="1"/>
  <c r="B11" i="1" s="1"/>
  <c r="B17" i="1" s="1"/>
  <c r="F12" i="13"/>
  <c r="G12" i="13" s="1"/>
  <c r="G12" i="1"/>
  <c r="G17" i="16"/>
  <c r="H17" i="16" s="1"/>
  <c r="I13" i="6"/>
  <c r="L13" i="6"/>
  <c r="M13" i="6" s="1"/>
  <c r="Q13" i="6"/>
  <c r="G18" i="16"/>
  <c r="H18" i="16" s="1"/>
  <c r="Q14" i="6"/>
  <c r="L14" i="6"/>
  <c r="M14" i="6" s="1"/>
  <c r="I14" i="6"/>
  <c r="I23" i="6"/>
  <c r="H26" i="6"/>
  <c r="G17" i="8"/>
  <c r="G11" i="8"/>
  <c r="M67" i="1"/>
  <c r="I67" i="1"/>
  <c r="I67" i="13"/>
  <c r="G73" i="13"/>
  <c r="J73" i="13" s="1"/>
  <c r="J67" i="13"/>
  <c r="M67" i="13" s="1"/>
  <c r="F43" i="10"/>
  <c r="F43" i="8"/>
  <c r="G43" i="8" s="1"/>
  <c r="F43" i="6"/>
  <c r="F45" i="10"/>
  <c r="F45" i="8"/>
  <c r="F45" i="6"/>
  <c r="F45" i="1"/>
  <c r="G75" i="13"/>
  <c r="J75" i="13" s="1"/>
  <c r="J65" i="13"/>
  <c r="M65" i="13" s="1"/>
  <c r="I65" i="13"/>
  <c r="I19" i="8"/>
  <c r="L19" i="8"/>
  <c r="M19" i="8" s="1"/>
  <c r="I60" i="8"/>
  <c r="I20" i="10"/>
  <c r="L20" i="10"/>
  <c r="M20" i="10" s="1"/>
  <c r="G74" i="1"/>
  <c r="J74" i="1" s="1"/>
  <c r="G72" i="1"/>
  <c r="J72" i="1" s="1"/>
  <c r="J62" i="1"/>
  <c r="M62" i="1" s="1"/>
  <c r="I62" i="1"/>
  <c r="H26" i="10"/>
  <c r="I58" i="13"/>
  <c r="H73" i="13"/>
  <c r="G75" i="1"/>
  <c r="J75" i="1" s="1"/>
  <c r="J65" i="1"/>
  <c r="M65" i="1" s="1"/>
  <c r="I25" i="8"/>
  <c r="H72" i="8"/>
  <c r="M66" i="13"/>
  <c r="M68" i="13"/>
  <c r="I68" i="13"/>
  <c r="N32" i="1"/>
  <c r="L39" i="1"/>
  <c r="K14" i="13"/>
  <c r="G74" i="13"/>
  <c r="J74" i="13" s="1"/>
  <c r="J60" i="13"/>
  <c r="H60" i="13" s="1"/>
  <c r="G72" i="13"/>
  <c r="J72" i="13" s="1"/>
  <c r="I12" i="16"/>
  <c r="J16" i="16"/>
  <c r="K16" i="16" s="1"/>
  <c r="I12" i="8"/>
  <c r="F41" i="10"/>
  <c r="F41" i="8"/>
  <c r="F41" i="6"/>
  <c r="E15" i="7"/>
  <c r="F42" i="10"/>
  <c r="F42" i="8"/>
  <c r="F42" i="6"/>
  <c r="F46" i="10"/>
  <c r="F46" i="8"/>
  <c r="F46" i="6"/>
  <c r="F47" i="10"/>
  <c r="F47" i="8"/>
  <c r="F47" i="6"/>
  <c r="E15" i="9"/>
  <c r="H12" i="1"/>
  <c r="M61" i="6"/>
  <c r="M72" i="6" s="1"/>
  <c r="N72" i="6" s="1"/>
  <c r="M66" i="6"/>
  <c r="C15" i="9"/>
  <c r="M39" i="1"/>
  <c r="F38" i="1"/>
  <c r="F35" i="1"/>
  <c r="F32" i="1"/>
  <c r="M30" i="1"/>
  <c r="M40" i="1"/>
  <c r="F37" i="1"/>
  <c r="P37" i="1" s="1"/>
  <c r="F34" i="1"/>
  <c r="P3" i="1"/>
  <c r="F36" i="1"/>
  <c r="G16" i="16"/>
  <c r="H16" i="16" s="1"/>
  <c r="I12" i="6"/>
  <c r="J17" i="16"/>
  <c r="K17" i="16" s="1"/>
  <c r="Q13" i="8"/>
  <c r="I13" i="8"/>
  <c r="M61" i="8"/>
  <c r="M72" i="8" s="1"/>
  <c r="N72" i="8" s="1"/>
  <c r="M18" i="16"/>
  <c r="N18" i="16" s="1"/>
  <c r="I14" i="10"/>
  <c r="L14" i="10"/>
  <c r="M14" i="10" s="1"/>
  <c r="O58" i="6"/>
  <c r="O60" i="6"/>
  <c r="I61" i="6"/>
  <c r="I68" i="6"/>
  <c r="L68" i="8"/>
  <c r="G74" i="8"/>
  <c r="J74" i="8" s="1"/>
  <c r="I62" i="8"/>
  <c r="I63" i="8"/>
  <c r="M66" i="8"/>
  <c r="L75" i="8"/>
  <c r="G22" i="10"/>
  <c r="I23" i="10"/>
  <c r="L73" i="10"/>
  <c r="F32" i="6"/>
  <c r="F33" i="6"/>
  <c r="I65" i="6"/>
  <c r="F38" i="8"/>
  <c r="I61" i="8"/>
  <c r="I65" i="8"/>
  <c r="I66" i="8"/>
  <c r="F33" i="10"/>
  <c r="F34" i="10"/>
  <c r="F36" i="10"/>
  <c r="L68" i="6"/>
  <c r="I63" i="6"/>
  <c r="J65" i="6"/>
  <c r="M65" i="6" s="1"/>
  <c r="I66" i="6"/>
  <c r="J65" i="8"/>
  <c r="M65" i="8" s="1"/>
  <c r="J68" i="8"/>
  <c r="M68" i="8" s="1"/>
  <c r="L13" i="10"/>
  <c r="F32" i="10"/>
  <c r="L75" i="10"/>
  <c r="F38" i="6"/>
  <c r="F33" i="8"/>
  <c r="M63" i="8"/>
  <c r="H75" i="8"/>
  <c r="L72" i="10"/>
  <c r="N60" i="10"/>
  <c r="M49" i="10"/>
  <c r="M39" i="10"/>
  <c r="M38" i="10"/>
  <c r="M46" i="10"/>
  <c r="M45" i="10"/>
  <c r="M41" i="10"/>
  <c r="M40" i="10"/>
  <c r="M37" i="10"/>
  <c r="M30" i="10"/>
  <c r="M47" i="10"/>
  <c r="M43" i="10"/>
  <c r="M42" i="10"/>
  <c r="F31" i="10"/>
  <c r="F35" i="10"/>
  <c r="G35" i="10" s="1"/>
  <c r="P35" i="10" s="1"/>
  <c r="F38" i="10"/>
  <c r="L74" i="10"/>
  <c r="N11" i="16"/>
  <c r="J58" i="10"/>
  <c r="N58" i="10"/>
  <c r="J61" i="10"/>
  <c r="M61" i="10" s="1"/>
  <c r="M72" i="10" s="1"/>
  <c r="N72" i="10" s="1"/>
  <c r="G75" i="10"/>
  <c r="J75" i="10" s="1"/>
  <c r="O58" i="10"/>
  <c r="I63" i="10"/>
  <c r="M68" i="10"/>
  <c r="H58" i="10"/>
  <c r="J64" i="10"/>
  <c r="M64" i="10" s="1"/>
  <c r="J66" i="10"/>
  <c r="M66" i="10" s="1"/>
  <c r="G72" i="10"/>
  <c r="J72" i="10" s="1"/>
  <c r="H10" i="16" l="1"/>
  <c r="F44" i="13"/>
  <c r="M44" i="13"/>
  <c r="G33" i="10"/>
  <c r="P33" i="10" s="1"/>
  <c r="G33" i="6"/>
  <c r="P33" i="6" s="1"/>
  <c r="L19" i="13"/>
  <c r="M19" i="13" s="1"/>
  <c r="G43" i="6"/>
  <c r="P43" i="6" s="1"/>
  <c r="G43" i="10"/>
  <c r="P43" i="10" s="1"/>
  <c r="G43" i="1"/>
  <c r="P43" i="1" s="1"/>
  <c r="G3" i="9"/>
  <c r="F6" i="10" s="1"/>
  <c r="E4" i="20" s="1"/>
  <c r="G33" i="8"/>
  <c r="P33" i="8" s="1"/>
  <c r="G33" i="1"/>
  <c r="P33" i="1" s="1"/>
  <c r="F17" i="1"/>
  <c r="G17" i="1" s="1"/>
  <c r="O35" i="6"/>
  <c r="P17" i="13"/>
  <c r="I7" i="22"/>
  <c r="U7" i="22" s="1"/>
  <c r="E17" i="17"/>
  <c r="G17" i="17" s="1"/>
  <c r="AD13" i="17"/>
  <c r="M6" i="8"/>
  <c r="O34" i="8"/>
  <c r="I29" i="16"/>
  <c r="K29" i="16" s="1"/>
  <c r="P37" i="8"/>
  <c r="L29" i="16"/>
  <c r="N29" i="16" s="1"/>
  <c r="P37" i="10"/>
  <c r="F29" i="16"/>
  <c r="H29" i="16" s="1"/>
  <c r="P37" i="6"/>
  <c r="O36" i="8"/>
  <c r="H11" i="1"/>
  <c r="E16" i="17" s="1"/>
  <c r="G17" i="19"/>
  <c r="G34" i="8"/>
  <c r="P34" i="8" s="1"/>
  <c r="G48" i="10"/>
  <c r="P48" i="10" s="1"/>
  <c r="O48" i="10"/>
  <c r="M15" i="16"/>
  <c r="N15" i="16" s="1"/>
  <c r="W16" i="17"/>
  <c r="W21" i="17" s="1"/>
  <c r="E15" i="20"/>
  <c r="E20" i="20" s="1"/>
  <c r="F17" i="20"/>
  <c r="G17" i="20"/>
  <c r="X20" i="17"/>
  <c r="Y20" i="17"/>
  <c r="X18" i="17"/>
  <c r="Y18" i="17"/>
  <c r="G18" i="20"/>
  <c r="F18" i="20"/>
  <c r="F19" i="20"/>
  <c r="G19" i="20"/>
  <c r="X19" i="17"/>
  <c r="Y19" i="17"/>
  <c r="X17" i="17"/>
  <c r="Y17" i="17"/>
  <c r="F16" i="20"/>
  <c r="G16" i="20"/>
  <c r="G18" i="19"/>
  <c r="Q5" i="8"/>
  <c r="G36" i="8"/>
  <c r="P36" i="8" s="1"/>
  <c r="O48" i="8"/>
  <c r="G48" i="8"/>
  <c r="P48" i="8" s="1"/>
  <c r="G36" i="6"/>
  <c r="P36" i="6" s="1"/>
  <c r="F17" i="19"/>
  <c r="F18" i="19"/>
  <c r="F19" i="19"/>
  <c r="G19" i="19"/>
  <c r="R20" i="17"/>
  <c r="S20" i="17"/>
  <c r="R19" i="17"/>
  <c r="S19" i="17"/>
  <c r="G17" i="18"/>
  <c r="R18" i="17"/>
  <c r="S18" i="17"/>
  <c r="F16" i="19"/>
  <c r="G16" i="19"/>
  <c r="R17" i="17"/>
  <c r="S17" i="17"/>
  <c r="Q16" i="17"/>
  <c r="E15" i="19"/>
  <c r="F7" i="19"/>
  <c r="E19" i="21"/>
  <c r="F19" i="21" s="1"/>
  <c r="AC20" i="17"/>
  <c r="AD20" i="17" s="1"/>
  <c r="E15" i="18"/>
  <c r="G15" i="18" s="1"/>
  <c r="K16" i="17"/>
  <c r="K21" i="17" s="1"/>
  <c r="AB20" i="17"/>
  <c r="AB18" i="17"/>
  <c r="AE18" i="17" s="1"/>
  <c r="AD18" i="17"/>
  <c r="AD19" i="17"/>
  <c r="AB19" i="17"/>
  <c r="AE19" i="17" s="1"/>
  <c r="AB17" i="17"/>
  <c r="Q3" i="6"/>
  <c r="O48" i="6"/>
  <c r="G48" i="6"/>
  <c r="P48" i="6" s="1"/>
  <c r="L14" i="13"/>
  <c r="M14" i="13" s="1"/>
  <c r="E18" i="21"/>
  <c r="F18" i="21" s="1"/>
  <c r="I13" i="13"/>
  <c r="E17" i="21"/>
  <c r="F17" i="21" s="1"/>
  <c r="F19" i="18"/>
  <c r="G19" i="18"/>
  <c r="F20" i="17"/>
  <c r="G20" i="17"/>
  <c r="F19" i="17"/>
  <c r="G19" i="17"/>
  <c r="F18" i="17"/>
  <c r="G18" i="17"/>
  <c r="F16" i="18"/>
  <c r="G16" i="18"/>
  <c r="J19" i="17"/>
  <c r="M19" i="17" s="1"/>
  <c r="L19" i="17"/>
  <c r="J18" i="17"/>
  <c r="M18" i="17" s="1"/>
  <c r="L18" i="17"/>
  <c r="D15" i="21"/>
  <c r="F12" i="21"/>
  <c r="D80" i="5"/>
  <c r="C80" i="5" s="1"/>
  <c r="D70" i="9"/>
  <c r="C70" i="9" s="1"/>
  <c r="D85" i="9"/>
  <c r="C85" i="9" s="1"/>
  <c r="D64" i="9"/>
  <c r="C64" i="9" s="1"/>
  <c r="D64" i="7"/>
  <c r="C64" i="7" s="1"/>
  <c r="D85" i="7"/>
  <c r="C85" i="7" s="1"/>
  <c r="D70" i="7"/>
  <c r="C70" i="7" s="1"/>
  <c r="D80" i="9"/>
  <c r="C80" i="9" s="1"/>
  <c r="D80" i="7"/>
  <c r="C80" i="7" s="1"/>
  <c r="D85" i="5"/>
  <c r="C85" i="5" s="1"/>
  <c r="D64" i="5"/>
  <c r="C64" i="5" s="1"/>
  <c r="D70" i="5"/>
  <c r="C70" i="5" s="1"/>
  <c r="O37" i="10"/>
  <c r="F48" i="13"/>
  <c r="M48" i="13"/>
  <c r="O48" i="1"/>
  <c r="G48" i="1"/>
  <c r="P48" i="1" s="1"/>
  <c r="M13" i="16"/>
  <c r="O36" i="6"/>
  <c r="O35" i="8"/>
  <c r="G35" i="8"/>
  <c r="P35" i="8" s="1"/>
  <c r="I5" i="1"/>
  <c r="J5" i="1" s="1"/>
  <c r="I5" i="10"/>
  <c r="J5" i="10" s="1"/>
  <c r="I27" i="16"/>
  <c r="K27" i="16" s="1"/>
  <c r="M5" i="6"/>
  <c r="M6" i="6" s="1"/>
  <c r="O37" i="8"/>
  <c r="L63" i="13"/>
  <c r="F31" i="13"/>
  <c r="F35" i="13"/>
  <c r="F33" i="13"/>
  <c r="F38" i="13"/>
  <c r="O38" i="13" s="1"/>
  <c r="F32" i="13"/>
  <c r="F36" i="13"/>
  <c r="F37" i="13"/>
  <c r="F34" i="13"/>
  <c r="M4" i="13"/>
  <c r="M38" i="13"/>
  <c r="M32" i="13"/>
  <c r="M3" i="13"/>
  <c r="Q3" i="13" s="1"/>
  <c r="F47" i="13"/>
  <c r="M45" i="13"/>
  <c r="F43" i="13"/>
  <c r="G43" i="13" s="1"/>
  <c r="M41" i="13"/>
  <c r="M36" i="13"/>
  <c r="M35" i="13"/>
  <c r="M34" i="13"/>
  <c r="M42" i="13"/>
  <c r="F46" i="13"/>
  <c r="M33" i="13"/>
  <c r="M47" i="13"/>
  <c r="M43" i="13"/>
  <c r="M31" i="13"/>
  <c r="M37" i="13"/>
  <c r="F45" i="13"/>
  <c r="F41" i="13"/>
  <c r="F42" i="13"/>
  <c r="P3" i="13"/>
  <c r="P5" i="13"/>
  <c r="M46" i="13"/>
  <c r="P4" i="13"/>
  <c r="O37" i="6"/>
  <c r="M40" i="16"/>
  <c r="M41" i="16" s="1"/>
  <c r="M42" i="16" s="1"/>
  <c r="O34" i="6"/>
  <c r="D13" i="16"/>
  <c r="F26" i="16"/>
  <c r="H26" i="16" s="1"/>
  <c r="F32" i="9"/>
  <c r="C32" i="9" s="1"/>
  <c r="I44" i="9"/>
  <c r="I42" i="9"/>
  <c r="I40" i="9"/>
  <c r="F35" i="9"/>
  <c r="C35" i="9" s="1"/>
  <c r="F34" i="9"/>
  <c r="C34" i="9" s="1"/>
  <c r="F26" i="9"/>
  <c r="I26" i="9"/>
  <c r="I25" i="9" s="1"/>
  <c r="F23" i="9"/>
  <c r="C23" i="9" s="1"/>
  <c r="E19" i="9"/>
  <c r="F20" i="9"/>
  <c r="I43" i="9"/>
  <c r="I41" i="9"/>
  <c r="E29" i="9"/>
  <c r="F25" i="9"/>
  <c r="C25" i="9" s="1"/>
  <c r="F22" i="9"/>
  <c r="C22" i="9" s="1"/>
  <c r="F21" i="9"/>
  <c r="C21" i="9" s="1"/>
  <c r="F24" i="9"/>
  <c r="C24" i="9" s="1"/>
  <c r="F36" i="9"/>
  <c r="C36" i="9" s="1"/>
  <c r="F27" i="9"/>
  <c r="F30" i="9"/>
  <c r="F31" i="9"/>
  <c r="C31" i="9" s="1"/>
  <c r="I43" i="7"/>
  <c r="I41" i="7"/>
  <c r="F36" i="7"/>
  <c r="C36" i="7" s="1"/>
  <c r="F32" i="7"/>
  <c r="C32" i="7" s="1"/>
  <c r="F26" i="7"/>
  <c r="F23" i="7"/>
  <c r="C23" i="7" s="1"/>
  <c r="F21" i="7"/>
  <c r="C21" i="7" s="1"/>
  <c r="I44" i="7"/>
  <c r="I42" i="7"/>
  <c r="I40" i="7"/>
  <c r="F31" i="7"/>
  <c r="C31" i="7" s="1"/>
  <c r="F27" i="7"/>
  <c r="I26" i="7"/>
  <c r="I25" i="7" s="1"/>
  <c r="F24" i="7"/>
  <c r="C24" i="7" s="1"/>
  <c r="F22" i="7"/>
  <c r="C22" i="7" s="1"/>
  <c r="F34" i="7"/>
  <c r="C34" i="7" s="1"/>
  <c r="F30" i="7"/>
  <c r="E29" i="7"/>
  <c r="E38" i="7" s="1"/>
  <c r="F25" i="7"/>
  <c r="C25" i="7" s="1"/>
  <c r="F20" i="7"/>
  <c r="F35" i="7"/>
  <c r="C35" i="7" s="1"/>
  <c r="E19" i="7"/>
  <c r="I44" i="5"/>
  <c r="I42" i="5"/>
  <c r="I40" i="5"/>
  <c r="F35" i="5"/>
  <c r="C35" i="5" s="1"/>
  <c r="F34" i="5"/>
  <c r="C34" i="5" s="1"/>
  <c r="F30" i="5"/>
  <c r="F26" i="5"/>
  <c r="F25" i="5"/>
  <c r="C25" i="5" s="1"/>
  <c r="F24" i="5"/>
  <c r="C24" i="5" s="1"/>
  <c r="F21" i="5"/>
  <c r="C21" i="5" s="1"/>
  <c r="I43" i="5"/>
  <c r="I41" i="5"/>
  <c r="F36" i="5"/>
  <c r="C36" i="5" s="1"/>
  <c r="F32" i="5"/>
  <c r="C32" i="5" s="1"/>
  <c r="F27" i="5"/>
  <c r="I26" i="5"/>
  <c r="I25" i="5" s="1"/>
  <c r="F22" i="5"/>
  <c r="C22" i="5" s="1"/>
  <c r="E19" i="5"/>
  <c r="F31" i="5"/>
  <c r="C31" i="5" s="1"/>
  <c r="F20" i="5"/>
  <c r="F23" i="5"/>
  <c r="C23" i="5" s="1"/>
  <c r="E29" i="5"/>
  <c r="E38" i="5" s="1"/>
  <c r="D10" i="17"/>
  <c r="I21" i="13"/>
  <c r="G32" i="8"/>
  <c r="P32" i="8" s="1"/>
  <c r="I73" i="1"/>
  <c r="M74" i="13"/>
  <c r="N74" i="13" s="1"/>
  <c r="M72" i="13"/>
  <c r="N72" i="13" s="1"/>
  <c r="I53" i="16"/>
  <c r="I49" i="16"/>
  <c r="I45" i="16"/>
  <c r="J45" i="16" s="1"/>
  <c r="I52" i="16"/>
  <c r="I51" i="16"/>
  <c r="I50" i="16"/>
  <c r="I47" i="16"/>
  <c r="I46" i="16"/>
  <c r="G13" i="16"/>
  <c r="F50" i="16"/>
  <c r="F45" i="16"/>
  <c r="F53" i="16"/>
  <c r="F52" i="16"/>
  <c r="F47" i="16"/>
  <c r="F51" i="16"/>
  <c r="F46" i="16"/>
  <c r="F49" i="16"/>
  <c r="H30" i="1"/>
  <c r="F30" i="1" s="1"/>
  <c r="O67" i="6"/>
  <c r="M75" i="10"/>
  <c r="N75" i="10" s="1"/>
  <c r="N62" i="8"/>
  <c r="L50" i="8"/>
  <c r="O32" i="8"/>
  <c r="I20" i="13"/>
  <c r="H12" i="16"/>
  <c r="O65" i="10"/>
  <c r="K12" i="16"/>
  <c r="J13" i="16"/>
  <c r="G42" i="1"/>
  <c r="P42" i="1" s="1"/>
  <c r="H73" i="1"/>
  <c r="O42" i="1"/>
  <c r="D40" i="16"/>
  <c r="D41" i="16" s="1"/>
  <c r="D42" i="16" s="1"/>
  <c r="N62" i="10"/>
  <c r="L13" i="13"/>
  <c r="M13" i="13" s="1"/>
  <c r="Q13" i="13"/>
  <c r="O63" i="10"/>
  <c r="I23" i="13"/>
  <c r="I75" i="13"/>
  <c r="N64" i="1"/>
  <c r="Q3" i="10"/>
  <c r="Q11" i="10"/>
  <c r="Q17" i="10" s="1"/>
  <c r="L50" i="10"/>
  <c r="N50" i="10" s="1"/>
  <c r="F44" i="16"/>
  <c r="G44" i="16" s="1"/>
  <c r="H44" i="16" s="1"/>
  <c r="M5" i="10"/>
  <c r="M6" i="10" s="1"/>
  <c r="I4" i="10"/>
  <c r="J4" i="10" s="1"/>
  <c r="I44" i="16"/>
  <c r="J44" i="16" s="1"/>
  <c r="K44" i="16" s="1"/>
  <c r="L44" i="16"/>
  <c r="M44" i="16" s="1"/>
  <c r="N44" i="16" s="1"/>
  <c r="O68" i="6"/>
  <c r="N63" i="6"/>
  <c r="O63" i="6"/>
  <c r="I11" i="10"/>
  <c r="O64" i="8"/>
  <c r="I22" i="13"/>
  <c r="F11" i="13"/>
  <c r="G11" i="1"/>
  <c r="I14" i="13"/>
  <c r="O46" i="1"/>
  <c r="L58" i="13"/>
  <c r="L73" i="13"/>
  <c r="N58" i="13"/>
  <c r="I26" i="8"/>
  <c r="N66" i="1"/>
  <c r="N61" i="1"/>
  <c r="H74" i="10"/>
  <c r="Q14" i="13"/>
  <c r="O63" i="1"/>
  <c r="I74" i="10"/>
  <c r="M72" i="1"/>
  <c r="N72" i="1" s="1"/>
  <c r="N68" i="1"/>
  <c r="O67" i="10"/>
  <c r="N62" i="6"/>
  <c r="O62" i="6"/>
  <c r="I75" i="10"/>
  <c r="I75" i="6"/>
  <c r="I75" i="1"/>
  <c r="N61" i="13"/>
  <c r="L61" i="13"/>
  <c r="L60" i="13"/>
  <c r="N64" i="13"/>
  <c r="N60" i="13"/>
  <c r="L65" i="13"/>
  <c r="N63" i="13"/>
  <c r="L75" i="13"/>
  <c r="L62" i="13"/>
  <c r="L72" i="13"/>
  <c r="N62" i="13"/>
  <c r="L67" i="13"/>
  <c r="L66" i="13"/>
  <c r="L68" i="13"/>
  <c r="L74" i="13"/>
  <c r="L64" i="13"/>
  <c r="C37" i="16"/>
  <c r="E37" i="16" s="1"/>
  <c r="C10" i="16"/>
  <c r="E10" i="16" s="1"/>
  <c r="Q3" i="1"/>
  <c r="M50" i="1"/>
  <c r="O43" i="1"/>
  <c r="Q4" i="1"/>
  <c r="C11" i="16"/>
  <c r="M5" i="1"/>
  <c r="O41" i="1"/>
  <c r="G41" i="1"/>
  <c r="C33" i="16"/>
  <c r="E33" i="16" s="1"/>
  <c r="C51" i="16"/>
  <c r="C49" i="16"/>
  <c r="C45" i="16"/>
  <c r="C53" i="16"/>
  <c r="C50" i="16"/>
  <c r="C52" i="16"/>
  <c r="C44" i="16"/>
  <c r="C46" i="16"/>
  <c r="C47" i="16"/>
  <c r="I73" i="6"/>
  <c r="O67" i="8"/>
  <c r="N67" i="8"/>
  <c r="J8" i="7"/>
  <c r="J9" i="7" s="1"/>
  <c r="J10" i="7" s="1"/>
  <c r="J11" i="7" s="1"/>
  <c r="J12" i="7" s="1"/>
  <c r="J13" i="7" s="1"/>
  <c r="J14" i="7" s="1"/>
  <c r="C3" i="19" s="1"/>
  <c r="E5" i="6"/>
  <c r="M73" i="13"/>
  <c r="N73" i="13" s="1"/>
  <c r="L12" i="16"/>
  <c r="N12" i="16" s="1"/>
  <c r="N64" i="6"/>
  <c r="O64" i="6"/>
  <c r="I75" i="8"/>
  <c r="I73" i="8"/>
  <c r="N39" i="10"/>
  <c r="I60" i="6"/>
  <c r="I72" i="6" s="1"/>
  <c r="H72" i="6"/>
  <c r="H74" i="6"/>
  <c r="H72" i="1"/>
  <c r="I23" i="16"/>
  <c r="K23" i="16" s="1"/>
  <c r="O31" i="8"/>
  <c r="G31" i="8"/>
  <c r="P31" i="8" s="1"/>
  <c r="F23" i="16"/>
  <c r="H23" i="16" s="1"/>
  <c r="O31" i="6"/>
  <c r="I11" i="8"/>
  <c r="Q11" i="8"/>
  <c r="Q17" i="8" s="1"/>
  <c r="J15" i="16"/>
  <c r="J20" i="16" s="1"/>
  <c r="L50" i="6"/>
  <c r="C38" i="16"/>
  <c r="E38" i="16" s="1"/>
  <c r="O47" i="1"/>
  <c r="G47" i="1"/>
  <c r="P47" i="1" s="1"/>
  <c r="H12" i="13"/>
  <c r="O33" i="1"/>
  <c r="C25" i="16"/>
  <c r="E25" i="16" s="1"/>
  <c r="C23" i="16"/>
  <c r="E23" i="16" s="1"/>
  <c r="O31" i="1"/>
  <c r="N66" i="10"/>
  <c r="O66" i="10"/>
  <c r="M73" i="10"/>
  <c r="N73" i="10" s="1"/>
  <c r="N64" i="10"/>
  <c r="O64" i="10"/>
  <c r="O65" i="8"/>
  <c r="N65" i="8"/>
  <c r="M75" i="8"/>
  <c r="N75" i="8" s="1"/>
  <c r="M13" i="10"/>
  <c r="I38" i="16"/>
  <c r="K38" i="16" s="1"/>
  <c r="O47" i="8"/>
  <c r="G47" i="8"/>
  <c r="P47" i="8" s="1"/>
  <c r="N61" i="10"/>
  <c r="O61" i="10"/>
  <c r="M74" i="10"/>
  <c r="N74" i="10" s="1"/>
  <c r="N63" i="8"/>
  <c r="O63" i="8"/>
  <c r="N65" i="6"/>
  <c r="O65" i="6"/>
  <c r="M75" i="6"/>
  <c r="N75" i="6" s="1"/>
  <c r="L28" i="16"/>
  <c r="N28" i="16" s="1"/>
  <c r="O36" i="10"/>
  <c r="G36" i="10"/>
  <c r="P36" i="10" s="1"/>
  <c r="I12" i="1"/>
  <c r="Q12" i="1"/>
  <c r="L12" i="1"/>
  <c r="D16" i="16"/>
  <c r="E16" i="16" s="1"/>
  <c r="F34" i="16"/>
  <c r="H34" i="16" s="1"/>
  <c r="O42" i="6"/>
  <c r="G42" i="6"/>
  <c r="P42" i="6" s="1"/>
  <c r="H74" i="13"/>
  <c r="I60" i="13"/>
  <c r="I74" i="13" s="1"/>
  <c r="H72" i="13"/>
  <c r="I26" i="10"/>
  <c r="L35" i="16"/>
  <c r="N35" i="16" s="1"/>
  <c r="O43" i="10"/>
  <c r="O38" i="10"/>
  <c r="L30" i="16"/>
  <c r="N30" i="16" s="1"/>
  <c r="I25" i="16"/>
  <c r="K25" i="16" s="1"/>
  <c r="O33" i="8"/>
  <c r="L26" i="16"/>
  <c r="N26" i="16" s="1"/>
  <c r="O34" i="10"/>
  <c r="G34" i="10"/>
  <c r="P34" i="10" s="1"/>
  <c r="O34" i="1"/>
  <c r="C26" i="16"/>
  <c r="E26" i="16" s="1"/>
  <c r="G34" i="1"/>
  <c r="P34" i="1" s="1"/>
  <c r="O32" i="1"/>
  <c r="C24" i="16"/>
  <c r="E24" i="16" s="1"/>
  <c r="G32" i="1"/>
  <c r="P32" i="1" s="1"/>
  <c r="F37" i="16"/>
  <c r="H37" i="16" s="1"/>
  <c r="G46" i="6"/>
  <c r="P46" i="6" s="1"/>
  <c r="O46" i="6"/>
  <c r="I34" i="16"/>
  <c r="K34" i="16" s="1"/>
  <c r="O42" i="8"/>
  <c r="G42" i="8"/>
  <c r="P42" i="8" s="1"/>
  <c r="I33" i="16"/>
  <c r="O41" i="8"/>
  <c r="G41" i="8"/>
  <c r="N39" i="1"/>
  <c r="L50" i="1"/>
  <c r="N50" i="1" s="1"/>
  <c r="O68" i="13"/>
  <c r="N68" i="13"/>
  <c r="O62" i="1"/>
  <c r="N62" i="1"/>
  <c r="M73" i="1"/>
  <c r="N73" i="1" s="1"/>
  <c r="F36" i="16"/>
  <c r="H36" i="16" s="1"/>
  <c r="O45" i="6"/>
  <c r="G45" i="6"/>
  <c r="P45" i="6" s="1"/>
  <c r="I15" i="13"/>
  <c r="Q15" i="13"/>
  <c r="L15" i="13"/>
  <c r="M15" i="13" s="1"/>
  <c r="I74" i="1"/>
  <c r="I72" i="1"/>
  <c r="L24" i="16"/>
  <c r="N24" i="16" s="1"/>
  <c r="G32" i="10"/>
  <c r="P32" i="10" s="1"/>
  <c r="O32" i="10"/>
  <c r="I30" i="16"/>
  <c r="K30" i="16" s="1"/>
  <c r="O38" i="8"/>
  <c r="F25" i="16"/>
  <c r="H25" i="16" s="1"/>
  <c r="O33" i="6"/>
  <c r="O37" i="1"/>
  <c r="C29" i="16"/>
  <c r="E29" i="16" s="1"/>
  <c r="O35" i="1"/>
  <c r="C27" i="16"/>
  <c r="E27" i="16" s="1"/>
  <c r="G35" i="1"/>
  <c r="P35" i="1" s="1"/>
  <c r="M73" i="6"/>
  <c r="N73" i="6" s="1"/>
  <c r="N66" i="6"/>
  <c r="O66" i="6"/>
  <c r="F38" i="16"/>
  <c r="H38" i="16" s="1"/>
  <c r="G47" i="6"/>
  <c r="P47" i="6" s="1"/>
  <c r="O47" i="6"/>
  <c r="I37" i="16"/>
  <c r="K37" i="16" s="1"/>
  <c r="G46" i="8"/>
  <c r="P46" i="8" s="1"/>
  <c r="O46" i="8"/>
  <c r="O42" i="10"/>
  <c r="G42" i="10"/>
  <c r="P42" i="10" s="1"/>
  <c r="L34" i="16"/>
  <c r="N34" i="16" s="1"/>
  <c r="L33" i="16"/>
  <c r="N33" i="16" s="1"/>
  <c r="O41" i="10"/>
  <c r="G41" i="10"/>
  <c r="O66" i="13"/>
  <c r="N66" i="13"/>
  <c r="I72" i="13"/>
  <c r="I73" i="13"/>
  <c r="I72" i="8"/>
  <c r="I74" i="8"/>
  <c r="I36" i="16"/>
  <c r="K36" i="16" s="1"/>
  <c r="G45" i="8"/>
  <c r="P45" i="8" s="1"/>
  <c r="O45" i="8"/>
  <c r="F35" i="16"/>
  <c r="H35" i="16" s="1"/>
  <c r="O43" i="6"/>
  <c r="I24" i="1"/>
  <c r="H26" i="1"/>
  <c r="F30" i="16"/>
  <c r="H30" i="16" s="1"/>
  <c r="O38" i="6"/>
  <c r="L25" i="16"/>
  <c r="N25" i="16" s="1"/>
  <c r="O33" i="10"/>
  <c r="L23" i="16"/>
  <c r="N23" i="16" s="1"/>
  <c r="G31" i="10"/>
  <c r="P31" i="10" s="1"/>
  <c r="O31" i="10"/>
  <c r="F24" i="16"/>
  <c r="H24" i="16" s="1"/>
  <c r="G32" i="6"/>
  <c r="P32" i="6" s="1"/>
  <c r="O32" i="6"/>
  <c r="C28" i="16"/>
  <c r="E28" i="16" s="1"/>
  <c r="O36" i="1"/>
  <c r="G36" i="1"/>
  <c r="P36" i="1" s="1"/>
  <c r="O61" i="6"/>
  <c r="M74" i="6"/>
  <c r="N74" i="6" s="1"/>
  <c r="N61" i="6"/>
  <c r="I74" i="6"/>
  <c r="O65" i="1"/>
  <c r="N65" i="1"/>
  <c r="M75" i="1"/>
  <c r="N75" i="1" s="1"/>
  <c r="M74" i="1"/>
  <c r="N74" i="1" s="1"/>
  <c r="O67" i="13"/>
  <c r="N67" i="13"/>
  <c r="N68" i="8"/>
  <c r="O68" i="8"/>
  <c r="O45" i="10"/>
  <c r="L36" i="16"/>
  <c r="N36" i="16" s="1"/>
  <c r="G45" i="10"/>
  <c r="P45" i="10" s="1"/>
  <c r="I35" i="16"/>
  <c r="K35" i="16" s="1"/>
  <c r="P43" i="8"/>
  <c r="O43" i="8"/>
  <c r="O67" i="1"/>
  <c r="N67" i="1"/>
  <c r="H24" i="13"/>
  <c r="B26" i="13"/>
  <c r="B11" i="13" s="1"/>
  <c r="B17" i="13" s="1"/>
  <c r="I25" i="13"/>
  <c r="G15" i="16"/>
  <c r="Q11" i="6"/>
  <c r="Q17" i="6" s="1"/>
  <c r="I11" i="6"/>
  <c r="L27" i="16"/>
  <c r="N27" i="16" s="1"/>
  <c r="O35" i="10"/>
  <c r="H73" i="10"/>
  <c r="I58" i="10"/>
  <c r="H72" i="10"/>
  <c r="C30" i="16"/>
  <c r="E30" i="16" s="1"/>
  <c r="O38" i="1"/>
  <c r="L37" i="16"/>
  <c r="N37" i="16" s="1"/>
  <c r="O46" i="10"/>
  <c r="G46" i="10"/>
  <c r="P46" i="10" s="1"/>
  <c r="N68" i="10"/>
  <c r="O68" i="10"/>
  <c r="M50" i="10"/>
  <c r="Q5" i="10"/>
  <c r="O66" i="8"/>
  <c r="N66" i="8"/>
  <c r="M73" i="8"/>
  <c r="N73" i="8" s="1"/>
  <c r="O61" i="8"/>
  <c r="N61" i="8"/>
  <c r="M74" i="8"/>
  <c r="N74" i="8" s="1"/>
  <c r="L38" i="16"/>
  <c r="N38" i="16" s="1"/>
  <c r="O47" i="10"/>
  <c r="G47" i="10"/>
  <c r="P47" i="10" s="1"/>
  <c r="F33" i="16"/>
  <c r="H33" i="16" s="1"/>
  <c r="O41" i="6"/>
  <c r="G41" i="6"/>
  <c r="O65" i="13"/>
  <c r="M75" i="13"/>
  <c r="N75" i="13" s="1"/>
  <c r="N65" i="13"/>
  <c r="G45" i="1"/>
  <c r="P45" i="1" s="1"/>
  <c r="O45" i="1"/>
  <c r="C36" i="16"/>
  <c r="I26" i="6"/>
  <c r="D19" i="16"/>
  <c r="E19" i="16" s="1"/>
  <c r="I15" i="1"/>
  <c r="L15" i="1"/>
  <c r="M15" i="1" s="1"/>
  <c r="Q15" i="1"/>
  <c r="O44" i="13" l="1"/>
  <c r="G44" i="13"/>
  <c r="P44" i="13" s="1"/>
  <c r="E20" i="18"/>
  <c r="F20" i="18" s="1"/>
  <c r="F15" i="18"/>
  <c r="F17" i="17"/>
  <c r="AC16" i="17"/>
  <c r="G11" i="13"/>
  <c r="F17" i="13"/>
  <c r="N5" i="10"/>
  <c r="H17" i="1"/>
  <c r="AC17" i="17"/>
  <c r="AD17" i="17" s="1"/>
  <c r="M12" i="1"/>
  <c r="N16" i="10"/>
  <c r="O16" i="10" s="1"/>
  <c r="V12" i="17"/>
  <c r="Y12" i="17" s="1"/>
  <c r="K25" i="9"/>
  <c r="K25" i="7"/>
  <c r="N16" i="8"/>
  <c r="O16" i="8" s="1"/>
  <c r="P12" i="17"/>
  <c r="S12" i="17" s="1"/>
  <c r="N16" i="6"/>
  <c r="J12" i="17"/>
  <c r="K25" i="5"/>
  <c r="O33" i="13"/>
  <c r="G33" i="13"/>
  <c r="P33" i="13" s="1"/>
  <c r="O37" i="13"/>
  <c r="P37" i="13"/>
  <c r="O43" i="13"/>
  <c r="P43" i="13"/>
  <c r="AB45" i="17"/>
  <c r="AE45" i="17" s="1"/>
  <c r="AD30" i="17"/>
  <c r="AB52" i="17"/>
  <c r="AE52" i="17" s="1"/>
  <c r="AE20" i="17"/>
  <c r="G19" i="21"/>
  <c r="M20" i="16"/>
  <c r="N20" i="16" s="1"/>
  <c r="F15" i="20"/>
  <c r="G15" i="20"/>
  <c r="G20" i="20" s="1"/>
  <c r="X16" i="17"/>
  <c r="Y16" i="17"/>
  <c r="Y21" i="17" s="1"/>
  <c r="F20" i="20"/>
  <c r="E55" i="20"/>
  <c r="X21" i="17"/>
  <c r="W65" i="17"/>
  <c r="AD43" i="17"/>
  <c r="AD26" i="17"/>
  <c r="AD31" i="17"/>
  <c r="AB32" i="17"/>
  <c r="AE32" i="17" s="1"/>
  <c r="AD40" i="17"/>
  <c r="AD25" i="17"/>
  <c r="AB34" i="17"/>
  <c r="AE34" i="17" s="1"/>
  <c r="AB21" i="17"/>
  <c r="AA21" i="17" s="1"/>
  <c r="AB54" i="17"/>
  <c r="AE54" i="17" s="1"/>
  <c r="AD60" i="17"/>
  <c r="AD45" i="17"/>
  <c r="AD55" i="17"/>
  <c r="AD24" i="17"/>
  <c r="AB44" i="17"/>
  <c r="AE44" i="17" s="1"/>
  <c r="AB43" i="17"/>
  <c r="AE43" i="17" s="1"/>
  <c r="AB37" i="17"/>
  <c r="AE37" i="17" s="1"/>
  <c r="AD36" i="17"/>
  <c r="AB30" i="17"/>
  <c r="AE30" i="17" s="1"/>
  <c r="AB46" i="17"/>
  <c r="AC46" i="17" s="1"/>
  <c r="AC47" i="17" s="1"/>
  <c r="AA61" i="17"/>
  <c r="AD61" i="17"/>
  <c r="AD44" i="17"/>
  <c r="AB40" i="17"/>
  <c r="AE40" i="17" s="1"/>
  <c r="AD37" i="17"/>
  <c r="AD54" i="17"/>
  <c r="AB27" i="17"/>
  <c r="AE27" i="17" s="1"/>
  <c r="AB25" i="17"/>
  <c r="AE25" i="17" s="1"/>
  <c r="AD32" i="17"/>
  <c r="AD39" i="17"/>
  <c r="AA50" i="17"/>
  <c r="AB60" i="17"/>
  <c r="AE60" i="17" s="1"/>
  <c r="AB29" i="17"/>
  <c r="AE29" i="17" s="1"/>
  <c r="AB36" i="17"/>
  <c r="AE36" i="17" s="1"/>
  <c r="AD33" i="17"/>
  <c r="AD38" i="17"/>
  <c r="AD28" i="17"/>
  <c r="AB35" i="17"/>
  <c r="AE35" i="17" s="1"/>
  <c r="AB38" i="17"/>
  <c r="AE38" i="17" s="1"/>
  <c r="AD35" i="17"/>
  <c r="AD52" i="17"/>
  <c r="D15" i="19"/>
  <c r="F12" i="19"/>
  <c r="F15" i="19"/>
  <c r="E20" i="19"/>
  <c r="R16" i="17"/>
  <c r="Q21" i="17"/>
  <c r="S16" i="17"/>
  <c r="S21" i="17" s="1"/>
  <c r="AA55" i="17"/>
  <c r="AD41" i="17"/>
  <c r="AB24" i="17"/>
  <c r="AE24" i="17" s="1"/>
  <c r="AB28" i="17"/>
  <c r="AE28" i="17" s="1"/>
  <c r="AD29" i="17"/>
  <c r="AB33" i="17"/>
  <c r="AE33" i="17" s="1"/>
  <c r="AB39" i="17"/>
  <c r="AE39" i="17" s="1"/>
  <c r="AB31" i="17"/>
  <c r="AE31" i="17" s="1"/>
  <c r="AD50" i="17"/>
  <c r="AB26" i="17"/>
  <c r="AE26" i="17" s="1"/>
  <c r="AD27" i="17"/>
  <c r="AD34" i="17"/>
  <c r="G18" i="21"/>
  <c r="G17" i="21"/>
  <c r="L12" i="13"/>
  <c r="E16" i="21"/>
  <c r="G20" i="18"/>
  <c r="F16" i="17"/>
  <c r="E21" i="17"/>
  <c r="G16" i="17"/>
  <c r="G21" i="17" s="1"/>
  <c r="J20" i="17"/>
  <c r="M20" i="17" s="1"/>
  <c r="L20" i="17"/>
  <c r="J17" i="17"/>
  <c r="M17" i="17" s="1"/>
  <c r="L17" i="17"/>
  <c r="C51" i="21"/>
  <c r="D30" i="21"/>
  <c r="G30" i="21" s="1"/>
  <c r="C45" i="21"/>
  <c r="F28" i="21"/>
  <c r="F45" i="21"/>
  <c r="D33" i="21"/>
  <c r="D24" i="21"/>
  <c r="G24" i="21" s="1"/>
  <c r="F30" i="21"/>
  <c r="C40" i="21"/>
  <c r="D49" i="21"/>
  <c r="F27" i="21"/>
  <c r="D44" i="21"/>
  <c r="G44" i="21" s="1"/>
  <c r="D27" i="21"/>
  <c r="G27" i="21" s="1"/>
  <c r="F42" i="21"/>
  <c r="F29" i="21"/>
  <c r="F44" i="21"/>
  <c r="D29" i="21"/>
  <c r="G29" i="21" s="1"/>
  <c r="D35" i="21"/>
  <c r="G35" i="21" s="1"/>
  <c r="F50" i="21"/>
  <c r="F51" i="21"/>
  <c r="D36" i="21"/>
  <c r="E36" i="21" s="1"/>
  <c r="F24" i="21"/>
  <c r="F40" i="21"/>
  <c r="D28" i="21"/>
  <c r="G28" i="21" s="1"/>
  <c r="F35" i="21"/>
  <c r="F26" i="21"/>
  <c r="D26" i="21"/>
  <c r="G26" i="21" s="1"/>
  <c r="F31" i="21"/>
  <c r="D42" i="21"/>
  <c r="D50" i="21"/>
  <c r="G50" i="21" s="1"/>
  <c r="F33" i="21"/>
  <c r="D23" i="21"/>
  <c r="F34" i="21"/>
  <c r="F25" i="21"/>
  <c r="D34" i="21"/>
  <c r="G34" i="21" s="1"/>
  <c r="D25" i="21"/>
  <c r="G25" i="21" s="1"/>
  <c r="F23" i="21"/>
  <c r="C41" i="21"/>
  <c r="C43" i="21"/>
  <c r="F41" i="21"/>
  <c r="F43" i="21"/>
  <c r="F47" i="21"/>
  <c r="F46" i="21"/>
  <c r="D20" i="21"/>
  <c r="C20" i="21" s="1"/>
  <c r="G10" i="17"/>
  <c r="F38" i="9"/>
  <c r="F38" i="5"/>
  <c r="P41" i="6"/>
  <c r="G49" i="6"/>
  <c r="P49" i="6" s="1"/>
  <c r="P41" i="8"/>
  <c r="G49" i="8"/>
  <c r="P49" i="8" s="1"/>
  <c r="P41" i="10"/>
  <c r="G49" i="10"/>
  <c r="P49" i="10" s="1"/>
  <c r="F38" i="7"/>
  <c r="P41" i="1"/>
  <c r="G49" i="1"/>
  <c r="P49" i="1" s="1"/>
  <c r="O48" i="13"/>
  <c r="G48" i="13"/>
  <c r="P48" i="13" s="1"/>
  <c r="H40" i="10"/>
  <c r="H49" i="10" s="1"/>
  <c r="E38" i="9"/>
  <c r="F40" i="13"/>
  <c r="F49" i="13" s="1"/>
  <c r="H30" i="8"/>
  <c r="H39" i="8" s="1"/>
  <c r="H40" i="8"/>
  <c r="H49" i="8" s="1"/>
  <c r="O35" i="13"/>
  <c r="G35" i="13"/>
  <c r="P35" i="13" s="1"/>
  <c r="H40" i="6"/>
  <c r="H49" i="6" s="1"/>
  <c r="H30" i="6"/>
  <c r="H39" i="6" s="1"/>
  <c r="H30" i="10"/>
  <c r="H39" i="10" s="1"/>
  <c r="F30" i="13"/>
  <c r="F39" i="13" s="1"/>
  <c r="O41" i="13"/>
  <c r="G41" i="13"/>
  <c r="O46" i="13"/>
  <c r="G46" i="13"/>
  <c r="P46" i="13" s="1"/>
  <c r="O36" i="13"/>
  <c r="G36" i="13"/>
  <c r="P36" i="13" s="1"/>
  <c r="O42" i="13"/>
  <c r="G42" i="13"/>
  <c r="P42" i="13" s="1"/>
  <c r="G47" i="13"/>
  <c r="P47" i="13" s="1"/>
  <c r="O47" i="13"/>
  <c r="M5" i="13"/>
  <c r="Q4" i="13"/>
  <c r="O32" i="13"/>
  <c r="G32" i="13"/>
  <c r="P32" i="13" s="1"/>
  <c r="N5" i="6"/>
  <c r="Q5" i="6"/>
  <c r="O45" i="13"/>
  <c r="G45" i="13"/>
  <c r="P45" i="13" s="1"/>
  <c r="O34" i="13"/>
  <c r="G34" i="13"/>
  <c r="P34" i="13" s="1"/>
  <c r="O31" i="13"/>
  <c r="G31" i="13"/>
  <c r="P31" i="13" s="1"/>
  <c r="I17" i="10"/>
  <c r="C30" i="9"/>
  <c r="C38" i="9" s="1"/>
  <c r="C20" i="9"/>
  <c r="C28" i="9" s="1"/>
  <c r="F28" i="9"/>
  <c r="E28" i="9"/>
  <c r="I24" i="9"/>
  <c r="I22" i="9"/>
  <c r="I21" i="9"/>
  <c r="I20" i="9"/>
  <c r="J26" i="9"/>
  <c r="I23" i="9"/>
  <c r="C30" i="7"/>
  <c r="C38" i="7" s="1"/>
  <c r="J26" i="7"/>
  <c r="I21" i="7"/>
  <c r="I20" i="7"/>
  <c r="I24" i="7"/>
  <c r="I23" i="7"/>
  <c r="I22" i="7"/>
  <c r="E28" i="7"/>
  <c r="C20" i="7"/>
  <c r="C28" i="7" s="1"/>
  <c r="F28" i="7"/>
  <c r="F28" i="5"/>
  <c r="C20" i="5"/>
  <c r="C28" i="5" s="1"/>
  <c r="E28" i="5"/>
  <c r="I20" i="5"/>
  <c r="J7" i="17" s="1"/>
  <c r="I22" i="5"/>
  <c r="I21" i="5"/>
  <c r="I23" i="5"/>
  <c r="J26" i="5"/>
  <c r="I24" i="5"/>
  <c r="C30" i="5"/>
  <c r="C38" i="5" s="1"/>
  <c r="D7" i="17"/>
  <c r="H40" i="1"/>
  <c r="O75" i="10"/>
  <c r="O75" i="6"/>
  <c r="O74" i="10"/>
  <c r="I39" i="8"/>
  <c r="M30" i="8"/>
  <c r="J22" i="16"/>
  <c r="J31" i="16" s="1"/>
  <c r="I12" i="13"/>
  <c r="I6" i="10"/>
  <c r="J6" i="10" s="1"/>
  <c r="Q12" i="13"/>
  <c r="G17" i="13"/>
  <c r="D50" i="16"/>
  <c r="E50" i="16" s="1"/>
  <c r="G50" i="16" s="1"/>
  <c r="H50" i="16" s="1"/>
  <c r="J50" i="16" s="1"/>
  <c r="K50" i="16" s="1"/>
  <c r="L50" i="16" s="1"/>
  <c r="M50" i="16" s="1"/>
  <c r="N50" i="16" s="1"/>
  <c r="D44" i="16"/>
  <c r="E44" i="16" s="1"/>
  <c r="D45" i="16"/>
  <c r="E45" i="16" s="1"/>
  <c r="G45" i="16" s="1"/>
  <c r="H45" i="16" s="1"/>
  <c r="K45" i="16" s="1"/>
  <c r="L45" i="16" s="1"/>
  <c r="M45" i="16" s="1"/>
  <c r="N45" i="16" s="1"/>
  <c r="D51" i="16"/>
  <c r="E51" i="16" s="1"/>
  <c r="G51" i="16" s="1"/>
  <c r="H51" i="16" s="1"/>
  <c r="J51" i="16" s="1"/>
  <c r="K51" i="16" s="1"/>
  <c r="L51" i="16" s="1"/>
  <c r="M51" i="16" s="1"/>
  <c r="N51" i="16" s="1"/>
  <c r="D52" i="16"/>
  <c r="E52" i="16" s="1"/>
  <c r="G52" i="16" s="1"/>
  <c r="H52" i="16" s="1"/>
  <c r="J52" i="16" s="1"/>
  <c r="K52" i="16" s="1"/>
  <c r="L52" i="16" s="1"/>
  <c r="M52" i="16" s="1"/>
  <c r="N52" i="16" s="1"/>
  <c r="D49" i="16"/>
  <c r="E49" i="16" s="1"/>
  <c r="G49" i="16" s="1"/>
  <c r="H49" i="16" s="1"/>
  <c r="J49" i="16" s="1"/>
  <c r="K49" i="16" s="1"/>
  <c r="L49" i="16" s="1"/>
  <c r="M49" i="16" s="1"/>
  <c r="N49" i="16" s="1"/>
  <c r="D47" i="16"/>
  <c r="E47" i="16" s="1"/>
  <c r="G47" i="16" s="1"/>
  <c r="H47" i="16" s="1"/>
  <c r="J47" i="16" s="1"/>
  <c r="K47" i="16" s="1"/>
  <c r="L47" i="16" s="1"/>
  <c r="M47" i="16" s="1"/>
  <c r="N47" i="16" s="1"/>
  <c r="D46" i="16"/>
  <c r="E46" i="16" s="1"/>
  <c r="G46" i="16" s="1"/>
  <c r="H46" i="16" s="1"/>
  <c r="J46" i="16" s="1"/>
  <c r="D53" i="16"/>
  <c r="E53" i="16" s="1"/>
  <c r="G53" i="16" s="1"/>
  <c r="H53" i="16" s="1"/>
  <c r="J53" i="16" s="1"/>
  <c r="K53" i="16" s="1"/>
  <c r="L53" i="16" s="1"/>
  <c r="M53" i="16" s="1"/>
  <c r="N53" i="16" s="1"/>
  <c r="G39" i="8"/>
  <c r="P39" i="8" s="1"/>
  <c r="O73" i="8"/>
  <c r="O74" i="6"/>
  <c r="O73" i="6"/>
  <c r="C12" i="16"/>
  <c r="E12" i="16" s="1"/>
  <c r="E11" i="16"/>
  <c r="Q5" i="1"/>
  <c r="N5" i="1"/>
  <c r="M6" i="1"/>
  <c r="O73" i="13"/>
  <c r="O73" i="10"/>
  <c r="J8" i="9"/>
  <c r="J9" i="9" s="1"/>
  <c r="J10" i="9" s="1"/>
  <c r="J11" i="9" s="1"/>
  <c r="J12" i="9" s="1"/>
  <c r="J13" i="9" s="1"/>
  <c r="J14" i="9" s="1"/>
  <c r="E5" i="8"/>
  <c r="K15" i="16"/>
  <c r="I4" i="8"/>
  <c r="J4" i="8" s="1"/>
  <c r="I17" i="8"/>
  <c r="I4" i="6"/>
  <c r="I17" i="6"/>
  <c r="O72" i="6"/>
  <c r="I24" i="13"/>
  <c r="H26" i="13"/>
  <c r="I73" i="10"/>
  <c r="I72" i="10"/>
  <c r="O75" i="1"/>
  <c r="O74" i="1"/>
  <c r="G39" i="6"/>
  <c r="P39" i="6" s="1"/>
  <c r="K33" i="16"/>
  <c r="K20" i="16"/>
  <c r="O72" i="10"/>
  <c r="F39" i="1"/>
  <c r="C22" i="16"/>
  <c r="O30" i="1"/>
  <c r="H11" i="13"/>
  <c r="H17" i="13" s="1"/>
  <c r="N14" i="1"/>
  <c r="Q11" i="1"/>
  <c r="Q17" i="1" s="1"/>
  <c r="D15" i="16"/>
  <c r="E15" i="16" s="1"/>
  <c r="F20" i="16" s="1"/>
  <c r="I11" i="1"/>
  <c r="G20" i="16"/>
  <c r="G39" i="10"/>
  <c r="P39" i="10" s="1"/>
  <c r="E36" i="16"/>
  <c r="C39" i="16"/>
  <c r="O75" i="13"/>
  <c r="O74" i="13"/>
  <c r="O72" i="8"/>
  <c r="O74" i="8"/>
  <c r="I26" i="1"/>
  <c r="O73" i="1"/>
  <c r="G39" i="1"/>
  <c r="P39" i="1" s="1"/>
  <c r="O75" i="8"/>
  <c r="E55" i="18" l="1"/>
  <c r="AE17" i="17"/>
  <c r="M12" i="13"/>
  <c r="V8" i="17"/>
  <c r="Y8" i="17" s="1"/>
  <c r="N12" i="10"/>
  <c r="O12" i="10" s="1"/>
  <c r="V7" i="17"/>
  <c r="Y7" i="17" s="1"/>
  <c r="N11" i="10"/>
  <c r="L3" i="16" s="1"/>
  <c r="V10" i="17"/>
  <c r="Y10" i="17" s="1"/>
  <c r="N14" i="10"/>
  <c r="L6" i="16" s="1"/>
  <c r="N6" i="16" s="1"/>
  <c r="V9" i="17"/>
  <c r="Y9" i="17" s="1"/>
  <c r="N13" i="10"/>
  <c r="L5" i="16" s="1"/>
  <c r="N5" i="16" s="1"/>
  <c r="V11" i="17"/>
  <c r="Y11" i="17" s="1"/>
  <c r="N15" i="10"/>
  <c r="L7" i="16" s="1"/>
  <c r="N7" i="16" s="1"/>
  <c r="P11" i="17"/>
  <c r="S11" i="17" s="1"/>
  <c r="N15" i="8"/>
  <c r="O15" i="8" s="1"/>
  <c r="P9" i="17"/>
  <c r="S9" i="17" s="1"/>
  <c r="N13" i="8"/>
  <c r="I5" i="16" s="1"/>
  <c r="K5" i="16" s="1"/>
  <c r="P8" i="17"/>
  <c r="S8" i="17" s="1"/>
  <c r="N12" i="8"/>
  <c r="O12" i="8" s="1"/>
  <c r="P7" i="17"/>
  <c r="S7" i="17" s="1"/>
  <c r="N11" i="8"/>
  <c r="I3" i="16" s="1"/>
  <c r="P10" i="17"/>
  <c r="S10" i="17" s="1"/>
  <c r="N14" i="8"/>
  <c r="O14" i="8" s="1"/>
  <c r="M12" i="17"/>
  <c r="AB12" i="17"/>
  <c r="AE12" i="17" s="1"/>
  <c r="O16" i="6"/>
  <c r="N16" i="13"/>
  <c r="O16" i="13" s="1"/>
  <c r="AB47" i="17"/>
  <c r="AA47" i="17" s="1"/>
  <c r="Y65" i="17"/>
  <c r="X65" i="17"/>
  <c r="F55" i="20"/>
  <c r="G55" i="20"/>
  <c r="AE46" i="17"/>
  <c r="AE47" i="17" s="1"/>
  <c r="AD46" i="17"/>
  <c r="F20" i="19"/>
  <c r="R21" i="17"/>
  <c r="Q65" i="17"/>
  <c r="F31" i="19"/>
  <c r="C45" i="19"/>
  <c r="C51" i="19"/>
  <c r="F40" i="19"/>
  <c r="F51" i="19"/>
  <c r="F35" i="19"/>
  <c r="D42" i="19"/>
  <c r="D33" i="19"/>
  <c r="F27" i="19"/>
  <c r="F23" i="19"/>
  <c r="D28" i="19"/>
  <c r="G28" i="19" s="1"/>
  <c r="D24" i="19"/>
  <c r="G24" i="19" s="1"/>
  <c r="C40" i="19"/>
  <c r="F34" i="19"/>
  <c r="D36" i="19"/>
  <c r="E36" i="19" s="1"/>
  <c r="F30" i="19"/>
  <c r="F26" i="19"/>
  <c r="D49" i="19"/>
  <c r="D27" i="19"/>
  <c r="G27" i="19" s="1"/>
  <c r="D23" i="19"/>
  <c r="F45" i="19"/>
  <c r="F33" i="19"/>
  <c r="D35" i="19"/>
  <c r="G35" i="19" s="1"/>
  <c r="F29" i="19"/>
  <c r="F25" i="19"/>
  <c r="D30" i="19"/>
  <c r="G30" i="19" s="1"/>
  <c r="D26" i="19"/>
  <c r="G26" i="19" s="1"/>
  <c r="D44" i="19"/>
  <c r="G44" i="19" s="1"/>
  <c r="F50" i="19"/>
  <c r="D50" i="19"/>
  <c r="G50" i="19" s="1"/>
  <c r="D34" i="19"/>
  <c r="G34" i="19" s="1"/>
  <c r="F28" i="19"/>
  <c r="F24" i="19"/>
  <c r="D29" i="19"/>
  <c r="G29" i="19" s="1"/>
  <c r="D25" i="19"/>
  <c r="G25" i="19" s="1"/>
  <c r="F42" i="19"/>
  <c r="F44" i="19"/>
  <c r="C41" i="19"/>
  <c r="F41" i="19"/>
  <c r="C43" i="19"/>
  <c r="F43" i="19"/>
  <c r="F46" i="19"/>
  <c r="F47" i="19"/>
  <c r="G15" i="19"/>
  <c r="G20" i="19" s="1"/>
  <c r="D20" i="19"/>
  <c r="C20" i="19" s="1"/>
  <c r="E15" i="21"/>
  <c r="E20" i="21" s="1"/>
  <c r="F20" i="21" s="1"/>
  <c r="AB41" i="17"/>
  <c r="AA41" i="17" s="1"/>
  <c r="AE41" i="17"/>
  <c r="AD47" i="17"/>
  <c r="D8" i="18"/>
  <c r="G8" i="18" s="1"/>
  <c r="J8" i="17"/>
  <c r="D11" i="18"/>
  <c r="G11" i="18" s="1"/>
  <c r="J11" i="17"/>
  <c r="D9" i="18"/>
  <c r="G9" i="18" s="1"/>
  <c r="J9" i="17"/>
  <c r="D10" i="18"/>
  <c r="G10" i="18" s="1"/>
  <c r="J10" i="17"/>
  <c r="F16" i="21"/>
  <c r="G16" i="21"/>
  <c r="G55" i="18"/>
  <c r="F55" i="18"/>
  <c r="F21" i="17"/>
  <c r="E65" i="17"/>
  <c r="D31" i="21"/>
  <c r="G23" i="21"/>
  <c r="G31" i="21" s="1"/>
  <c r="D52" i="21"/>
  <c r="C52" i="21" s="1"/>
  <c r="E49" i="21"/>
  <c r="G33" i="21"/>
  <c r="D37" i="21"/>
  <c r="C37" i="21" s="1"/>
  <c r="G42" i="21"/>
  <c r="D46" i="21"/>
  <c r="D47" i="21" s="1"/>
  <c r="C47" i="21" s="1"/>
  <c r="F36" i="21"/>
  <c r="E37" i="21"/>
  <c r="G36" i="21"/>
  <c r="K20" i="7"/>
  <c r="D7" i="19"/>
  <c r="K23" i="9"/>
  <c r="D10" i="20"/>
  <c r="G10" i="20" s="1"/>
  <c r="K22" i="9"/>
  <c r="D9" i="20"/>
  <c r="G9" i="20" s="1"/>
  <c r="K22" i="7"/>
  <c r="D9" i="19"/>
  <c r="G9" i="19" s="1"/>
  <c r="K21" i="7"/>
  <c r="D8" i="19"/>
  <c r="G8" i="19" s="1"/>
  <c r="K24" i="9"/>
  <c r="D11" i="20"/>
  <c r="G11" i="20" s="1"/>
  <c r="K23" i="7"/>
  <c r="D10" i="19"/>
  <c r="G10" i="19" s="1"/>
  <c r="K20" i="9"/>
  <c r="D7" i="20"/>
  <c r="K24" i="7"/>
  <c r="D11" i="19"/>
  <c r="G11" i="19" s="1"/>
  <c r="K21" i="9"/>
  <c r="D8" i="20"/>
  <c r="G8" i="20" s="1"/>
  <c r="K20" i="5"/>
  <c r="D7" i="18"/>
  <c r="F40" i="6"/>
  <c r="F49" i="6" s="1"/>
  <c r="F40" i="10"/>
  <c r="F49" i="10" s="1"/>
  <c r="E5" i="10"/>
  <c r="F5" i="13" s="1"/>
  <c r="C3" i="21"/>
  <c r="C3" i="20"/>
  <c r="N15" i="1"/>
  <c r="O15" i="1" s="1"/>
  <c r="D11" i="17"/>
  <c r="G7" i="17"/>
  <c r="D9" i="17"/>
  <c r="N12" i="1"/>
  <c r="C4" i="16" s="1"/>
  <c r="E4" i="16" s="1"/>
  <c r="D8" i="17"/>
  <c r="F30" i="6"/>
  <c r="F39" i="6" s="1"/>
  <c r="F40" i="8"/>
  <c r="F49" i="8" s="1"/>
  <c r="F30" i="10"/>
  <c r="L22" i="16" s="1"/>
  <c r="L31" i="16" s="1"/>
  <c r="N31" i="16" s="1"/>
  <c r="P41" i="13"/>
  <c r="G49" i="13"/>
  <c r="P49" i="13" s="1"/>
  <c r="F40" i="1"/>
  <c r="F49" i="1" s="1"/>
  <c r="F50" i="1" s="1"/>
  <c r="H49" i="1"/>
  <c r="F30" i="8"/>
  <c r="M30" i="6"/>
  <c r="I30" i="13"/>
  <c r="F50" i="13"/>
  <c r="H39" i="1"/>
  <c r="H50" i="13"/>
  <c r="N5" i="13"/>
  <c r="Q5" i="13"/>
  <c r="M6" i="13"/>
  <c r="G39" i="13"/>
  <c r="P39" i="13" s="1"/>
  <c r="D28" i="9"/>
  <c r="E39" i="9"/>
  <c r="C39" i="9"/>
  <c r="I34" i="9"/>
  <c r="I29" i="9"/>
  <c r="I32" i="9"/>
  <c r="I35" i="9"/>
  <c r="I30" i="9"/>
  <c r="I31" i="9"/>
  <c r="I28" i="9"/>
  <c r="D38" i="9"/>
  <c r="F39" i="9"/>
  <c r="C39" i="7"/>
  <c r="E39" i="7"/>
  <c r="I34" i="7"/>
  <c r="I29" i="7"/>
  <c r="I35" i="7"/>
  <c r="I28" i="7"/>
  <c r="I32" i="7"/>
  <c r="I31" i="7"/>
  <c r="I30" i="7"/>
  <c r="D28" i="7"/>
  <c r="D38" i="7"/>
  <c r="F39" i="7"/>
  <c r="C39" i="5"/>
  <c r="F39" i="5"/>
  <c r="D38" i="5"/>
  <c r="K24" i="5"/>
  <c r="N15" i="6"/>
  <c r="O15" i="6" s="1"/>
  <c r="K23" i="5"/>
  <c r="N14" i="6"/>
  <c r="O14" i="6" s="1"/>
  <c r="K22" i="5"/>
  <c r="N13" i="6"/>
  <c r="O13" i="6" s="1"/>
  <c r="D28" i="5"/>
  <c r="K21" i="5"/>
  <c r="N12" i="6"/>
  <c r="F4" i="16" s="1"/>
  <c r="H4" i="16" s="1"/>
  <c r="N11" i="6"/>
  <c r="I30" i="5"/>
  <c r="I28" i="5"/>
  <c r="I34" i="5"/>
  <c r="I35" i="5"/>
  <c r="I32" i="5"/>
  <c r="I29" i="5"/>
  <c r="I31" i="5"/>
  <c r="E39" i="5"/>
  <c r="G22" i="16"/>
  <c r="G31" i="16" s="1"/>
  <c r="N13" i="1"/>
  <c r="O13" i="1" s="1"/>
  <c r="N11" i="1"/>
  <c r="I39" i="6"/>
  <c r="M39" i="6" s="1"/>
  <c r="H50" i="8"/>
  <c r="M39" i="8"/>
  <c r="N39" i="8"/>
  <c r="K46" i="16"/>
  <c r="L46" i="16" s="1"/>
  <c r="M46" i="16" s="1"/>
  <c r="H15" i="16"/>
  <c r="G50" i="1"/>
  <c r="Q11" i="13"/>
  <c r="Q17" i="13" s="1"/>
  <c r="I11" i="13"/>
  <c r="E39" i="16"/>
  <c r="I4" i="1"/>
  <c r="I17" i="1"/>
  <c r="D20" i="16"/>
  <c r="C31" i="16"/>
  <c r="E31" i="16" s="1"/>
  <c r="E22" i="16"/>
  <c r="C6" i="16"/>
  <c r="E6" i="16" s="1"/>
  <c r="O14" i="1"/>
  <c r="O39" i="1"/>
  <c r="G50" i="8"/>
  <c r="J4" i="6"/>
  <c r="H20" i="16"/>
  <c r="G50" i="10"/>
  <c r="P50" i="10"/>
  <c r="I26" i="13"/>
  <c r="G50" i="6"/>
  <c r="C7" i="16" l="1"/>
  <c r="E7" i="16" s="1"/>
  <c r="V13" i="17"/>
  <c r="Y13" i="17"/>
  <c r="S13" i="17"/>
  <c r="AB7" i="17"/>
  <c r="AE7" i="17" s="1"/>
  <c r="D13" i="17"/>
  <c r="P13" i="17"/>
  <c r="N17" i="10"/>
  <c r="N17" i="8"/>
  <c r="O11" i="6"/>
  <c r="N17" i="6"/>
  <c r="J13" i="17"/>
  <c r="O11" i="1"/>
  <c r="N17" i="1"/>
  <c r="K26" i="7"/>
  <c r="K26" i="5"/>
  <c r="K26" i="9"/>
  <c r="O30" i="13"/>
  <c r="AB51" i="17"/>
  <c r="G37" i="21"/>
  <c r="E49" i="19"/>
  <c r="D52" i="19"/>
  <c r="C52" i="19" s="1"/>
  <c r="G23" i="19"/>
  <c r="G31" i="19" s="1"/>
  <c r="D31" i="19"/>
  <c r="G33" i="19"/>
  <c r="D37" i="19"/>
  <c r="C37" i="19" s="1"/>
  <c r="S65" i="17"/>
  <c r="R65" i="17"/>
  <c r="G36" i="19"/>
  <c r="E37" i="19"/>
  <c r="F36" i="19"/>
  <c r="G42" i="19"/>
  <c r="D46" i="19"/>
  <c r="D47" i="19" s="1"/>
  <c r="C47" i="19" s="1"/>
  <c r="G15" i="21"/>
  <c r="G20" i="21" s="1"/>
  <c r="F15" i="21"/>
  <c r="AC21" i="17"/>
  <c r="AD21" i="17" s="1"/>
  <c r="AD16" i="17"/>
  <c r="AE16" i="17"/>
  <c r="AE21" i="17" s="1"/>
  <c r="AB11" i="17"/>
  <c r="AE11" i="17" s="1"/>
  <c r="M11" i="17"/>
  <c r="AB10" i="17"/>
  <c r="AE10" i="17" s="1"/>
  <c r="M10" i="17"/>
  <c r="AB9" i="17"/>
  <c r="AE9" i="17" s="1"/>
  <c r="M9" i="17"/>
  <c r="AB8" i="17"/>
  <c r="AE8" i="17" s="1"/>
  <c r="M8" i="17"/>
  <c r="F65" i="17"/>
  <c r="G65" i="17"/>
  <c r="J16" i="17"/>
  <c r="M7" i="17"/>
  <c r="L16" i="17"/>
  <c r="C31" i="21"/>
  <c r="D55" i="21"/>
  <c r="C55" i="21" s="1"/>
  <c r="C46" i="21"/>
  <c r="G46" i="21"/>
  <c r="G47" i="21" s="1"/>
  <c r="G49" i="21"/>
  <c r="G52" i="21" s="1"/>
  <c r="E52" i="21"/>
  <c r="F52" i="21" s="1"/>
  <c r="F49" i="21"/>
  <c r="F37" i="21"/>
  <c r="O12" i="1"/>
  <c r="D12" i="20"/>
  <c r="G7" i="20"/>
  <c r="G12" i="20" s="1"/>
  <c r="D12" i="19"/>
  <c r="G7" i="19"/>
  <c r="G12" i="19" s="1"/>
  <c r="D10" i="21"/>
  <c r="G10" i="21" s="1"/>
  <c r="O40" i="10"/>
  <c r="O49" i="10" s="1"/>
  <c r="L32" i="16"/>
  <c r="L39" i="16" s="1"/>
  <c r="N39" i="16" s="1"/>
  <c r="F32" i="16"/>
  <c r="F39" i="16" s="1"/>
  <c r="D12" i="18"/>
  <c r="G7" i="18"/>
  <c r="G12" i="18" s="1"/>
  <c r="D7" i="21"/>
  <c r="G7" i="21" s="1"/>
  <c r="N22" i="16"/>
  <c r="G8" i="17"/>
  <c r="D8" i="21"/>
  <c r="G11" i="17"/>
  <c r="D11" i="21"/>
  <c r="G11" i="21" s="1"/>
  <c r="G9" i="17"/>
  <c r="D9" i="21"/>
  <c r="G9" i="21" s="1"/>
  <c r="I32" i="16"/>
  <c r="I39" i="16" s="1"/>
  <c r="F22" i="16"/>
  <c r="F31" i="16" s="1"/>
  <c r="H31" i="16" s="1"/>
  <c r="O30" i="6"/>
  <c r="O40" i="1"/>
  <c r="O49" i="1" s="1"/>
  <c r="O50" i="1" s="1"/>
  <c r="F39" i="10"/>
  <c r="O39" i="10" s="1"/>
  <c r="O30" i="10"/>
  <c r="I22" i="16"/>
  <c r="O30" i="8"/>
  <c r="F39" i="8"/>
  <c r="O39" i="8" s="1"/>
  <c r="H50" i="1"/>
  <c r="I40" i="13"/>
  <c r="I39" i="13"/>
  <c r="M30" i="13"/>
  <c r="C3" i="16"/>
  <c r="E3" i="16" s="1"/>
  <c r="F3" i="16"/>
  <c r="H3" i="16" s="1"/>
  <c r="G50" i="13"/>
  <c r="H50" i="10"/>
  <c r="D39" i="9"/>
  <c r="I36" i="9"/>
  <c r="D39" i="7"/>
  <c r="I36" i="7"/>
  <c r="O11" i="10"/>
  <c r="O11" i="8"/>
  <c r="N11" i="13"/>
  <c r="D39" i="5"/>
  <c r="I36" i="5"/>
  <c r="C5" i="16"/>
  <c r="E5" i="16" s="1"/>
  <c r="H50" i="6"/>
  <c r="F50" i="6"/>
  <c r="O39" i="6"/>
  <c r="N39" i="6"/>
  <c r="P50" i="6" s="1"/>
  <c r="M40" i="6"/>
  <c r="O40" i="6"/>
  <c r="O49" i="6" s="1"/>
  <c r="G32" i="16"/>
  <c r="I6" i="16"/>
  <c r="K6" i="16" s="1"/>
  <c r="O15" i="10"/>
  <c r="J32" i="16"/>
  <c r="J39" i="16" s="1"/>
  <c r="O40" i="8"/>
  <c r="O49" i="8" s="1"/>
  <c r="M40" i="8"/>
  <c r="P50" i="8"/>
  <c r="L4" i="16"/>
  <c r="N4" i="16" s="1"/>
  <c r="O14" i="10"/>
  <c r="I7" i="16"/>
  <c r="K7" i="16" s="1"/>
  <c r="F5" i="16"/>
  <c r="H5" i="16" s="1"/>
  <c r="F6" i="16"/>
  <c r="H6" i="16" s="1"/>
  <c r="N14" i="13"/>
  <c r="O14" i="13" s="1"/>
  <c r="I4" i="16"/>
  <c r="K4" i="16" s="1"/>
  <c r="N13" i="13"/>
  <c r="O13" i="13" s="1"/>
  <c r="O13" i="10"/>
  <c r="O13" i="8"/>
  <c r="N12" i="13"/>
  <c r="O12" i="13" s="1"/>
  <c r="F7" i="16"/>
  <c r="H7" i="16" s="1"/>
  <c r="O12" i="6"/>
  <c r="N15" i="13"/>
  <c r="O15" i="13" s="1"/>
  <c r="N46" i="16"/>
  <c r="M56" i="16"/>
  <c r="M58" i="16" s="1"/>
  <c r="C40" i="16"/>
  <c r="E40" i="16" s="1"/>
  <c r="N3" i="16"/>
  <c r="D56" i="16"/>
  <c r="E20" i="16"/>
  <c r="K3" i="16"/>
  <c r="J4" i="1"/>
  <c r="I6" i="1"/>
  <c r="J6" i="1" s="1"/>
  <c r="I4" i="13"/>
  <c r="I17" i="13"/>
  <c r="P50" i="1"/>
  <c r="M13" i="17" l="1"/>
  <c r="O17" i="6"/>
  <c r="O11" i="13"/>
  <c r="O17" i="13" s="1"/>
  <c r="N17" i="13"/>
  <c r="O17" i="1"/>
  <c r="O17" i="10"/>
  <c r="O17" i="8"/>
  <c r="G13" i="17"/>
  <c r="AE13" i="17"/>
  <c r="AB13" i="17"/>
  <c r="AC51" i="17"/>
  <c r="AA51" i="17"/>
  <c r="I49" i="13"/>
  <c r="AB53" i="17"/>
  <c r="AB56" i="17" s="1"/>
  <c r="C31" i="19"/>
  <c r="D55" i="19"/>
  <c r="C55" i="19" s="1"/>
  <c r="F37" i="19"/>
  <c r="C46" i="19"/>
  <c r="G46" i="19"/>
  <c r="G47" i="19" s="1"/>
  <c r="G37" i="19"/>
  <c r="E52" i="19"/>
  <c r="F52" i="19" s="1"/>
  <c r="G49" i="19"/>
  <c r="G52" i="19" s="1"/>
  <c r="F49" i="19"/>
  <c r="L54" i="17"/>
  <c r="J44" i="17"/>
  <c r="M44" i="17" s="1"/>
  <c r="L25" i="17"/>
  <c r="L29" i="17"/>
  <c r="L33" i="17"/>
  <c r="L37" i="17"/>
  <c r="L24" i="17"/>
  <c r="J32" i="17"/>
  <c r="M32" i="17" s="1"/>
  <c r="J40" i="17"/>
  <c r="M40" i="17" s="1"/>
  <c r="L51" i="17"/>
  <c r="L55" i="17"/>
  <c r="J43" i="17"/>
  <c r="L26" i="17"/>
  <c r="L30" i="17"/>
  <c r="L34" i="17"/>
  <c r="L38" i="17"/>
  <c r="J27" i="17"/>
  <c r="M27" i="17" s="1"/>
  <c r="J35" i="17"/>
  <c r="M35" i="17" s="1"/>
  <c r="J24" i="17"/>
  <c r="L50" i="17"/>
  <c r="L28" i="17"/>
  <c r="L36" i="17"/>
  <c r="L40" i="17"/>
  <c r="J39" i="17"/>
  <c r="M39" i="17" s="1"/>
  <c r="L52" i="17"/>
  <c r="L56" i="17"/>
  <c r="J46" i="17"/>
  <c r="K46" i="17" s="1"/>
  <c r="L27" i="17"/>
  <c r="L31" i="17"/>
  <c r="L35" i="17"/>
  <c r="L39" i="17"/>
  <c r="J28" i="17"/>
  <c r="M28" i="17" s="1"/>
  <c r="J36" i="17"/>
  <c r="M36" i="17" s="1"/>
  <c r="L53" i="17"/>
  <c r="J45" i="17"/>
  <c r="M45" i="17" s="1"/>
  <c r="L41" i="17"/>
  <c r="L32" i="17"/>
  <c r="J31" i="17"/>
  <c r="M31" i="17" s="1"/>
  <c r="J26" i="17"/>
  <c r="M26" i="17" s="1"/>
  <c r="J25" i="17"/>
  <c r="M25" i="17" s="1"/>
  <c r="J30" i="17"/>
  <c r="M30" i="17" s="1"/>
  <c r="J37" i="17"/>
  <c r="M37" i="17" s="1"/>
  <c r="L44" i="17"/>
  <c r="J33" i="17"/>
  <c r="M33" i="17" s="1"/>
  <c r="L45" i="17"/>
  <c r="L43" i="17"/>
  <c r="J34" i="17"/>
  <c r="M34" i="17" s="1"/>
  <c r="J29" i="17"/>
  <c r="M29" i="17" s="1"/>
  <c r="J38" i="17"/>
  <c r="M38" i="17" s="1"/>
  <c r="E55" i="21"/>
  <c r="J21" i="17"/>
  <c r="I21" i="17" s="1"/>
  <c r="M16" i="17"/>
  <c r="M21" i="17" s="1"/>
  <c r="I55" i="17"/>
  <c r="I51" i="17"/>
  <c r="I61" i="17"/>
  <c r="L61" i="17"/>
  <c r="I53" i="17"/>
  <c r="L57" i="17"/>
  <c r="J52" i="17"/>
  <c r="I50" i="17"/>
  <c r="J59" i="17"/>
  <c r="AB59" i="17" s="1"/>
  <c r="L60" i="17"/>
  <c r="J60" i="17"/>
  <c r="M60" i="17" s="1"/>
  <c r="J54" i="17"/>
  <c r="M54" i="17" s="1"/>
  <c r="L21" i="17"/>
  <c r="N32" i="16"/>
  <c r="F40" i="16"/>
  <c r="F41" i="16" s="1"/>
  <c r="F42" i="16" s="1"/>
  <c r="G8" i="21"/>
  <c r="G12" i="21" s="1"/>
  <c r="D12" i="21"/>
  <c r="H22" i="16"/>
  <c r="F50" i="10"/>
  <c r="O50" i="10"/>
  <c r="L26" i="9"/>
  <c r="G88" i="9"/>
  <c r="D88" i="9" s="1"/>
  <c r="C88" i="9" s="1"/>
  <c r="L26" i="5"/>
  <c r="G88" i="5"/>
  <c r="D88" i="5" s="1"/>
  <c r="C88" i="5" s="1"/>
  <c r="L26" i="7"/>
  <c r="G88" i="7"/>
  <c r="D88" i="7" s="1"/>
  <c r="C88" i="7" s="1"/>
  <c r="F50" i="8"/>
  <c r="I31" i="16"/>
  <c r="K31" i="16" s="1"/>
  <c r="K22" i="16"/>
  <c r="I50" i="13"/>
  <c r="M40" i="13"/>
  <c r="O40" i="13"/>
  <c r="O49" i="13" s="1"/>
  <c r="N39" i="13"/>
  <c r="P50" i="13" s="1"/>
  <c r="M39" i="13"/>
  <c r="O39" i="13"/>
  <c r="C8" i="16"/>
  <c r="E8" i="16" s="1"/>
  <c r="L40" i="16"/>
  <c r="N40" i="16" s="1"/>
  <c r="K32" i="16"/>
  <c r="O50" i="8"/>
  <c r="L8" i="16"/>
  <c r="L13" i="16" s="1"/>
  <c r="J40" i="16"/>
  <c r="J41" i="16" s="1"/>
  <c r="J42" i="16" s="1"/>
  <c r="J56" i="16" s="1"/>
  <c r="J58" i="16" s="1"/>
  <c r="K39" i="16"/>
  <c r="O50" i="6"/>
  <c r="N49" i="6"/>
  <c r="M49" i="6"/>
  <c r="M50" i="6" s="1"/>
  <c r="I50" i="6"/>
  <c r="M49" i="8"/>
  <c r="M50" i="8" s="1"/>
  <c r="N49" i="8"/>
  <c r="I50" i="8"/>
  <c r="N50" i="8" s="1"/>
  <c r="G39" i="16"/>
  <c r="H32" i="16"/>
  <c r="I8" i="16"/>
  <c r="K8" i="16" s="1"/>
  <c r="F8" i="16"/>
  <c r="H8" i="16" s="1"/>
  <c r="M60" i="16"/>
  <c r="M61" i="16"/>
  <c r="C41" i="16"/>
  <c r="E41" i="16" s="1"/>
  <c r="J4" i="13"/>
  <c r="D58" i="16"/>
  <c r="J56" i="17" l="1"/>
  <c r="J57" i="17" s="1"/>
  <c r="AB57" i="17"/>
  <c r="AA57" i="17" s="1"/>
  <c r="AA56" i="17"/>
  <c r="AC53" i="17"/>
  <c r="AC56" i="17" s="1"/>
  <c r="AA53" i="17"/>
  <c r="AE51" i="17"/>
  <c r="AD51" i="17"/>
  <c r="E55" i="19"/>
  <c r="AB62" i="17"/>
  <c r="AC59" i="17"/>
  <c r="M43" i="17"/>
  <c r="J47" i="17"/>
  <c r="I47" i="17" s="1"/>
  <c r="L46" i="17"/>
  <c r="M46" i="17"/>
  <c r="K47" i="17"/>
  <c r="L47" i="17" s="1"/>
  <c r="M24" i="17"/>
  <c r="M41" i="17" s="1"/>
  <c r="J41" i="17"/>
  <c r="I41" i="17" s="1"/>
  <c r="M52" i="17"/>
  <c r="G55" i="21"/>
  <c r="F55" i="21"/>
  <c r="K59" i="17"/>
  <c r="J62" i="17"/>
  <c r="I62" i="17" s="1"/>
  <c r="I40" i="16"/>
  <c r="I41" i="16" s="1"/>
  <c r="I42" i="16" s="1"/>
  <c r="C13" i="16"/>
  <c r="E13" i="16" s="1"/>
  <c r="I5" i="6"/>
  <c r="J5" i="6" s="1"/>
  <c r="N50" i="6"/>
  <c r="I5" i="13"/>
  <c r="N50" i="13"/>
  <c r="O50" i="13"/>
  <c r="N49" i="13"/>
  <c r="M49" i="13"/>
  <c r="M50" i="13" s="1"/>
  <c r="N8" i="16"/>
  <c r="L41" i="16"/>
  <c r="N41" i="16" s="1"/>
  <c r="J61" i="16"/>
  <c r="J60" i="16"/>
  <c r="H39" i="16"/>
  <c r="G40" i="16"/>
  <c r="I5" i="8"/>
  <c r="F13" i="16"/>
  <c r="H13" i="16" s="1"/>
  <c r="I13" i="16"/>
  <c r="K13" i="16" s="1"/>
  <c r="C42" i="16"/>
  <c r="C56" i="16" s="1"/>
  <c r="N13" i="16"/>
  <c r="F56" i="16"/>
  <c r="D61" i="16"/>
  <c r="D62" i="16" s="1"/>
  <c r="D60" i="16"/>
  <c r="D59" i="16"/>
  <c r="AE53" i="17" l="1"/>
  <c r="AD53" i="17"/>
  <c r="M47" i="17"/>
  <c r="G55" i="19"/>
  <c r="F55" i="19"/>
  <c r="AC62" i="17"/>
  <c r="AE59" i="17"/>
  <c r="AE62" i="17" s="1"/>
  <c r="AD59" i="17"/>
  <c r="AA62" i="17"/>
  <c r="AB65" i="17"/>
  <c r="AA65" i="17" s="1"/>
  <c r="I56" i="17"/>
  <c r="M56" i="17"/>
  <c r="M57" i="17" s="1"/>
  <c r="L59" i="17"/>
  <c r="K62" i="17"/>
  <c r="M59" i="17"/>
  <c r="M62" i="17" s="1"/>
  <c r="I57" i="17"/>
  <c r="J65" i="17"/>
  <c r="I65" i="17" s="1"/>
  <c r="K41" i="16"/>
  <c r="K40" i="16"/>
  <c r="I6" i="6"/>
  <c r="J6" i="6" s="1"/>
  <c r="L42" i="16"/>
  <c r="N42" i="16" s="1"/>
  <c r="J5" i="8"/>
  <c r="I6" i="8"/>
  <c r="J6" i="8" s="1"/>
  <c r="G41" i="16"/>
  <c r="H40" i="16"/>
  <c r="E56" i="16"/>
  <c r="C58" i="16"/>
  <c r="C60" i="16" s="1"/>
  <c r="E42" i="16"/>
  <c r="F58" i="16"/>
  <c r="I56" i="16"/>
  <c r="K42" i="16"/>
  <c r="AC57" i="17" l="1"/>
  <c r="AD57" i="17" s="1"/>
  <c r="AD56" i="17"/>
  <c r="AE56" i="17"/>
  <c r="AE57" i="17" s="1"/>
  <c r="AD62" i="17"/>
  <c r="L62" i="17"/>
  <c r="K65" i="17"/>
  <c r="L56" i="16"/>
  <c r="N56" i="16" s="1"/>
  <c r="G42" i="16"/>
  <c r="H41" i="16"/>
  <c r="F60" i="16"/>
  <c r="E58" i="16"/>
  <c r="K56" i="16"/>
  <c r="I58" i="16"/>
  <c r="AC65" i="17" l="1"/>
  <c r="AD65" i="17" s="1"/>
  <c r="M65" i="17"/>
  <c r="L65" i="17"/>
  <c r="L58" i="16"/>
  <c r="L60" i="16" s="1"/>
  <c r="G56" i="16"/>
  <c r="H42" i="16"/>
  <c r="J5" i="13"/>
  <c r="I6" i="13"/>
  <c r="J6" i="13" s="1"/>
  <c r="I60" i="16"/>
  <c r="K58" i="16"/>
  <c r="AE65" i="17" l="1"/>
  <c r="N58" i="16"/>
  <c r="G58" i="16"/>
  <c r="H56" i="16"/>
  <c r="G60" i="16" l="1"/>
  <c r="G61" i="16"/>
  <c r="G62" i="16" s="1"/>
  <c r="J62" i="16" s="1"/>
  <c r="M62" i="16" s="1"/>
  <c r="G59" i="16"/>
  <c r="J59" i="16" s="1"/>
  <c r="M59" i="16" s="1"/>
  <c r="H58" i="16"/>
  <c r="L22" i="8" l="1"/>
  <c r="M22" i="8" s="1"/>
  <c r="L22" i="6"/>
  <c r="M22" i="6" s="1"/>
  <c r="L22" i="10"/>
  <c r="M22" i="10" s="1"/>
  <c r="L22" i="1" l="1"/>
  <c r="M22" i="1" s="1"/>
  <c r="J22" i="13"/>
  <c r="K22" i="13" l="1"/>
  <c r="L22" i="13"/>
  <c r="M22" i="13" s="1"/>
  <c r="L23" i="8"/>
  <c r="M23" i="8" s="1"/>
  <c r="L23" i="6"/>
  <c r="M23" i="6" s="1"/>
  <c r="L23" i="10"/>
  <c r="M23" i="10" s="1"/>
  <c r="L23" i="1" l="1"/>
  <c r="M23" i="1" s="1"/>
  <c r="J23" i="13"/>
  <c r="K23" i="13" l="1"/>
  <c r="L23" i="13"/>
  <c r="M23" i="13" s="1"/>
  <c r="L25" i="10"/>
  <c r="M25" i="10" s="1"/>
  <c r="L24" i="8"/>
  <c r="M24" i="8" s="1"/>
  <c r="J26" i="8"/>
  <c r="L25" i="8"/>
  <c r="M25" i="8" s="1"/>
  <c r="L25" i="6"/>
  <c r="M25" i="6" s="1"/>
  <c r="L24" i="6"/>
  <c r="M24" i="6" s="1"/>
  <c r="J26" i="10"/>
  <c r="L24" i="1"/>
  <c r="M24" i="1" s="1"/>
  <c r="K26" i="10" l="1"/>
  <c r="L26" i="10"/>
  <c r="M26" i="10" s="1"/>
  <c r="J11" i="10"/>
  <c r="L26" i="8"/>
  <c r="M26" i="8" s="1"/>
  <c r="J11" i="8"/>
  <c r="K26" i="8"/>
  <c r="J26" i="1"/>
  <c r="J24" i="13"/>
  <c r="L24" i="10"/>
  <c r="M24" i="10" s="1"/>
  <c r="J26" i="6"/>
  <c r="L25" i="1"/>
  <c r="M25" i="1" s="1"/>
  <c r="J25" i="13"/>
  <c r="K25" i="13" l="1"/>
  <c r="L25" i="13"/>
  <c r="M25" i="13" s="1"/>
  <c r="K24" i="13"/>
  <c r="L24" i="13"/>
  <c r="M24" i="13" s="1"/>
  <c r="J26" i="13"/>
  <c r="K26" i="1"/>
  <c r="L26" i="1"/>
  <c r="M26" i="1" s="1"/>
  <c r="J11" i="1"/>
  <c r="K11" i="10"/>
  <c r="L11" i="10"/>
  <c r="J17" i="10"/>
  <c r="K17" i="10" s="1"/>
  <c r="K26" i="6"/>
  <c r="L26" i="6"/>
  <c r="M26" i="6" s="1"/>
  <c r="J11" i="6"/>
  <c r="K11" i="8"/>
  <c r="L11" i="8"/>
  <c r="J17" i="8"/>
  <c r="K17" i="8" s="1"/>
  <c r="M11" i="8" l="1"/>
  <c r="L17" i="8"/>
  <c r="M17" i="8" s="1"/>
  <c r="L11" i="1"/>
  <c r="K11" i="1"/>
  <c r="J17" i="1"/>
  <c r="K17" i="1" s="1"/>
  <c r="J11" i="13"/>
  <c r="K11" i="6"/>
  <c r="J17" i="6"/>
  <c r="K17" i="6" s="1"/>
  <c r="L11" i="6"/>
  <c r="M11" i="10"/>
  <c r="L17" i="10"/>
  <c r="M17" i="10" s="1"/>
  <c r="K26" i="13"/>
  <c r="L26" i="13"/>
  <c r="M26" i="13" s="1"/>
  <c r="L17" i="1" l="1"/>
  <c r="M17" i="1" s="1"/>
  <c r="M11" i="1"/>
  <c r="K11" i="13"/>
  <c r="J17" i="13"/>
  <c r="K17" i="13" s="1"/>
  <c r="L11" i="13"/>
  <c r="M11" i="6"/>
  <c r="L17" i="6"/>
  <c r="M17" i="6" s="1"/>
  <c r="M11" i="13" l="1"/>
  <c r="L17" i="13"/>
  <c r="M17" i="13" s="1"/>
</calcChain>
</file>

<file path=xl/sharedStrings.xml><?xml version="1.0" encoding="utf-8"?>
<sst xmlns="http://schemas.openxmlformats.org/spreadsheetml/2006/main" count="2359" uniqueCount="301">
  <si>
    <t>Total:</t>
  </si>
  <si>
    <t>Forecast</t>
  </si>
  <si>
    <t>Total</t>
  </si>
  <si>
    <t>Line Cook:</t>
  </si>
  <si>
    <t>Prep Cook:</t>
  </si>
  <si>
    <t>Dish:</t>
  </si>
  <si>
    <t xml:space="preserve"> BOH Total:</t>
  </si>
  <si>
    <t>Server:</t>
  </si>
  <si>
    <t>Host:</t>
  </si>
  <si>
    <t>Bartender:</t>
  </si>
  <si>
    <t>Busser:</t>
  </si>
  <si>
    <t>FOH Total:</t>
  </si>
  <si>
    <t>Budget $</t>
  </si>
  <si>
    <t>Budget %</t>
  </si>
  <si>
    <t>Avg. Wage</t>
  </si>
  <si>
    <t>Hours</t>
  </si>
  <si>
    <t>FOH Fixed:</t>
  </si>
  <si>
    <t>BOH Fixed:</t>
  </si>
  <si>
    <t>Total Labor:</t>
  </si>
  <si>
    <t xml:space="preserve"> </t>
  </si>
  <si>
    <t>Restaurant:</t>
  </si>
  <si>
    <t>Period:</t>
  </si>
  <si>
    <t>Labor Budget</t>
  </si>
  <si>
    <t>Sales History &amp; Forecast</t>
  </si>
  <si>
    <t>Liquor:</t>
  </si>
  <si>
    <t>Beer:</t>
  </si>
  <si>
    <t>Wine:</t>
  </si>
  <si>
    <t>Beverage:</t>
  </si>
  <si>
    <t>Purchasing Budget</t>
  </si>
  <si>
    <t>Food:</t>
  </si>
  <si>
    <t>Meat:</t>
  </si>
  <si>
    <t>Seafood:</t>
  </si>
  <si>
    <t>Poultry:</t>
  </si>
  <si>
    <t>Dairy:</t>
  </si>
  <si>
    <t>Produce:</t>
  </si>
  <si>
    <t>Bakery:</t>
  </si>
  <si>
    <t>Grocery</t>
  </si>
  <si>
    <t>Sales Forecast:</t>
  </si>
  <si>
    <t>%</t>
  </si>
  <si>
    <t>Purchase Target</t>
  </si>
  <si>
    <t>$</t>
  </si>
  <si>
    <t>Weekly Results</t>
  </si>
  <si>
    <t>COGS:</t>
  </si>
  <si>
    <t>Labor:</t>
  </si>
  <si>
    <t>Week Ending Date:</t>
  </si>
  <si>
    <t>Prime:</t>
  </si>
  <si>
    <t>Cost Of Goods</t>
  </si>
  <si>
    <t>Sales</t>
  </si>
  <si>
    <t>Purchases</t>
  </si>
  <si>
    <t>Actual</t>
  </si>
  <si>
    <t>Theory</t>
  </si>
  <si>
    <t>Variance</t>
  </si>
  <si>
    <t>Grocery:</t>
  </si>
  <si>
    <t>Regular Hours</t>
  </si>
  <si>
    <t>Overtime Hours</t>
  </si>
  <si>
    <t>Total Hours</t>
  </si>
  <si>
    <t>Total $</t>
  </si>
  <si>
    <t>Labor %</t>
  </si>
  <si>
    <t>Average Hourly Wage</t>
  </si>
  <si>
    <t>Budget</t>
  </si>
  <si>
    <t>Var. $</t>
  </si>
  <si>
    <t>Var. Hours</t>
  </si>
  <si>
    <t>Labor Cost</t>
  </si>
  <si>
    <t>Regular</t>
  </si>
  <si>
    <t>Over Time</t>
  </si>
  <si>
    <t>Average Wage</t>
  </si>
  <si>
    <t>Actual Labor Cost</t>
  </si>
  <si>
    <t>$ Variance</t>
  </si>
  <si>
    <t>Front Fixed:</t>
  </si>
  <si>
    <t>Var. Mgmt:</t>
  </si>
  <si>
    <t>Back Fixed:</t>
  </si>
  <si>
    <t>Line Cooks:</t>
  </si>
  <si>
    <t>Servers:</t>
  </si>
  <si>
    <t>Dishwashers:</t>
  </si>
  <si>
    <t>Prep:</t>
  </si>
  <si>
    <t>Runner:</t>
  </si>
  <si>
    <t>Training FOH:</t>
  </si>
  <si>
    <t>Total FOH:</t>
  </si>
  <si>
    <t>Total Kitchen:</t>
  </si>
  <si>
    <t>Prep/Dish:</t>
  </si>
  <si>
    <t>COGS</t>
  </si>
  <si>
    <t>Labor - Actual</t>
  </si>
  <si>
    <t>Inventory</t>
  </si>
  <si>
    <t>Open</t>
  </si>
  <si>
    <t>Close</t>
  </si>
  <si>
    <t>NA Bev:</t>
  </si>
  <si>
    <t>Month Ending Date:</t>
  </si>
  <si>
    <t>Week:</t>
  </si>
  <si>
    <t>Summary</t>
  </si>
  <si>
    <t>Period</t>
  </si>
  <si>
    <t>Week</t>
  </si>
  <si>
    <t>Lunch</t>
  </si>
  <si>
    <t>Dinner</t>
  </si>
  <si>
    <t>Discounts</t>
  </si>
  <si>
    <t>Monday:</t>
  </si>
  <si>
    <t>Tuesday:</t>
  </si>
  <si>
    <t>Wednesday:</t>
  </si>
  <si>
    <t>Thursday:</t>
  </si>
  <si>
    <t>Friday:</t>
  </si>
  <si>
    <t>Saturday:</t>
  </si>
  <si>
    <t>Sunday:</t>
  </si>
  <si>
    <t>Expediter:</t>
  </si>
  <si>
    <t>Other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</si>
  <si>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</si>
  <si>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</si>
  <si>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</si>
  <si>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</si>
  <si>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</si>
  <si>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</si>
  <si>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</si>
  <si>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 P1W1</t>
  </si>
  <si>
    <t>P1W2</t>
  </si>
  <si>
    <t>P1W3</t>
  </si>
  <si>
    <t>P1W4</t>
  </si>
  <si>
    <t>P2W1</t>
  </si>
  <si>
    <t>P2W2</t>
  </si>
  <si>
    <t>P2W3</t>
  </si>
  <si>
    <t>P2W4</t>
  </si>
  <si>
    <t>P3W1</t>
  </si>
  <si>
    <t>P3W2</t>
  </si>
  <si>
    <t>P3W3</t>
  </si>
  <si>
    <t>P3W4</t>
  </si>
  <si>
    <t>P3W5</t>
  </si>
  <si>
    <t>P4W1</t>
  </si>
  <si>
    <t>P4W2</t>
  </si>
  <si>
    <t>P4W3</t>
  </si>
  <si>
    <t>P4W4</t>
  </si>
  <si>
    <t>P5W1</t>
  </si>
  <si>
    <t>P5W2</t>
  </si>
  <si>
    <t>P5W3</t>
  </si>
  <si>
    <t>P5W4</t>
  </si>
  <si>
    <t>P6W1</t>
  </si>
  <si>
    <t>P6W2</t>
  </si>
  <si>
    <t>P6W3</t>
  </si>
  <si>
    <t>P6W4</t>
  </si>
  <si>
    <t>P6W5</t>
  </si>
  <si>
    <t>P7W1</t>
  </si>
  <si>
    <t>P7W2</t>
  </si>
  <si>
    <t>P7W3</t>
  </si>
  <si>
    <t>P7W4</t>
  </si>
  <si>
    <t>P8W1</t>
  </si>
  <si>
    <t>P8W2</t>
  </si>
  <si>
    <t>P8W3</t>
  </si>
  <si>
    <t>P8W4</t>
  </si>
  <si>
    <t>P9W1</t>
  </si>
  <si>
    <t>P9W2</t>
  </si>
  <si>
    <t>P9W3</t>
  </si>
  <si>
    <t>P9W4</t>
  </si>
  <si>
    <t>P9W5</t>
  </si>
  <si>
    <t>P10W1</t>
  </si>
  <si>
    <t>P10W2</t>
  </si>
  <si>
    <t>P10W3</t>
  </si>
  <si>
    <t>P10W4</t>
  </si>
  <si>
    <t>P11W1</t>
  </si>
  <si>
    <t>P11W2</t>
  </si>
  <si>
    <t>P11W3</t>
  </si>
  <si>
    <t>P11W4</t>
  </si>
  <si>
    <t>P12W1</t>
  </si>
  <si>
    <t>P12W2</t>
  </si>
  <si>
    <t>P12W3</t>
  </si>
  <si>
    <t>P12W4</t>
  </si>
  <si>
    <t>P12W5</t>
  </si>
  <si>
    <t>Maintenance:</t>
  </si>
  <si>
    <t>Linen:</t>
  </si>
  <si>
    <t>Smallwares:</t>
  </si>
  <si>
    <t>Supplies:</t>
  </si>
  <si>
    <t>R&amp;M:</t>
  </si>
  <si>
    <t>Menu/Office:</t>
  </si>
  <si>
    <t>Sous Chef:</t>
  </si>
  <si>
    <t>Shucker:</t>
  </si>
  <si>
    <t>Pastry Chef:</t>
  </si>
  <si>
    <t>Admin/Mgr.</t>
  </si>
  <si>
    <t>Admin/Mgr:</t>
  </si>
  <si>
    <t>Week 1</t>
  </si>
  <si>
    <t>Forecast / Budget</t>
  </si>
  <si>
    <t>Manager Promo's:</t>
  </si>
  <si>
    <t>Discounts:</t>
  </si>
  <si>
    <t>Other Direct COS:</t>
  </si>
  <si>
    <t>Linens &amp; Laundry:</t>
  </si>
  <si>
    <t>Glassware and Tableware:</t>
  </si>
  <si>
    <t>Supplies and Paper:</t>
  </si>
  <si>
    <t>Guranteed Payments:</t>
  </si>
  <si>
    <t>MRG Expense:</t>
  </si>
  <si>
    <t>Total Salaries:</t>
  </si>
  <si>
    <t>Total Payroll Related:</t>
  </si>
  <si>
    <t>Total Payroll:</t>
  </si>
  <si>
    <t>Computers:</t>
  </si>
  <si>
    <t>Office &amp; Supplies:</t>
  </si>
  <si>
    <t>All OOE:</t>
  </si>
  <si>
    <t>Total Occupancy:</t>
  </si>
  <si>
    <t>Net Income (Loss):</t>
  </si>
  <si>
    <t>Total Revenue Adjustments:</t>
  </si>
  <si>
    <t>Total Adjusted Revenue:</t>
  </si>
  <si>
    <t>Total Expenses:</t>
  </si>
  <si>
    <t>Partner Distribution:</t>
  </si>
  <si>
    <t>Week 2</t>
  </si>
  <si>
    <t>Week 3</t>
  </si>
  <si>
    <t>Week 4</t>
  </si>
  <si>
    <t>Week 5</t>
  </si>
  <si>
    <t>Cummulative Partner Distribution:</t>
  </si>
  <si>
    <t>Cummulative Income (Loss):</t>
  </si>
  <si>
    <t>Adjustments to Sales</t>
  </si>
  <si>
    <t>Guest Discounts:</t>
  </si>
  <si>
    <t>Staff Discounts:</t>
  </si>
  <si>
    <t>Manager &amp; Bar Promo:</t>
  </si>
  <si>
    <t>Donations:</t>
  </si>
  <si>
    <t>Manager Meals:</t>
  </si>
  <si>
    <t>Max Vantage:</t>
  </si>
  <si>
    <t>QSA's:</t>
  </si>
  <si>
    <t>Vouchers:</t>
  </si>
  <si>
    <t>Linen &amp; Laundry:</t>
  </si>
  <si>
    <t>Glassware &amp; Tableware:</t>
  </si>
  <si>
    <t>Supplies &amp; Paper:</t>
  </si>
  <si>
    <t>MRG:</t>
  </si>
  <si>
    <t>Total Supplies &amp; MRG:</t>
  </si>
  <si>
    <t>Labor</t>
  </si>
  <si>
    <t>GP:</t>
  </si>
  <si>
    <t>BOH Variable:</t>
  </si>
  <si>
    <t>FOH Variable:</t>
  </si>
  <si>
    <t>Employee Profit Sharing:</t>
  </si>
  <si>
    <t>PRE:</t>
  </si>
  <si>
    <t>OOE:</t>
  </si>
  <si>
    <t>Occupancy:</t>
  </si>
  <si>
    <t>Monthly</t>
  </si>
  <si>
    <t>Total Other:</t>
  </si>
  <si>
    <t>Cash Flow:</t>
  </si>
  <si>
    <t>Mia</t>
  </si>
  <si>
    <t>Revenue</t>
  </si>
  <si>
    <t>Cost of Sales</t>
  </si>
  <si>
    <t>Actual $</t>
  </si>
  <si>
    <t>Actual %</t>
  </si>
  <si>
    <t>Donations</t>
  </si>
  <si>
    <t>Adjusted Monthly by Finance</t>
  </si>
  <si>
    <t>Enter from Avero</t>
  </si>
  <si>
    <t>Will Update from Cost Sheet - Needs to be updated from Payroll Report</t>
  </si>
  <si>
    <t>Enter from When to Manage</t>
  </si>
  <si>
    <t>Period 2</t>
  </si>
  <si>
    <t>Period 3</t>
  </si>
  <si>
    <t>Q1</t>
  </si>
  <si>
    <t>Forecast:</t>
  </si>
  <si>
    <t>Revenue - From Avero</t>
  </si>
  <si>
    <t>Other:</t>
  </si>
  <si>
    <t>Promo's and Discounts</t>
  </si>
  <si>
    <t xml:space="preserve">                               Promo's and Discounts from Avero</t>
  </si>
  <si>
    <t>Guest$:</t>
  </si>
  <si>
    <t>50% Wine:</t>
  </si>
  <si>
    <t>Manager:</t>
  </si>
  <si>
    <t>Bar:</t>
  </si>
  <si>
    <t>MgrMeals:</t>
  </si>
  <si>
    <t>QSA:</t>
  </si>
  <si>
    <t>Misc:</t>
  </si>
  <si>
    <t>StaffMeals:</t>
  </si>
  <si>
    <t>EmpDisc:</t>
  </si>
  <si>
    <t>Max Cuvee:</t>
  </si>
  <si>
    <t>Promo $:</t>
  </si>
  <si>
    <t>Spec. Disc:</t>
  </si>
  <si>
    <t>Trade:</t>
  </si>
  <si>
    <t>Vantage:</t>
  </si>
  <si>
    <t>Voucher:</t>
  </si>
  <si>
    <t>WaitWheels:</t>
  </si>
  <si>
    <t xml:space="preserve">                                                                                        Labor Summary from Avero</t>
  </si>
  <si>
    <t xml:space="preserve">   Dishwasher</t>
  </si>
  <si>
    <t>Reg. Hours:</t>
  </si>
  <si>
    <t>Reg. Pay:</t>
  </si>
  <si>
    <t>OT Hours:</t>
  </si>
  <si>
    <t>OT Pay:</t>
  </si>
  <si>
    <t>Line Cook</t>
  </si>
  <si>
    <t>Maintenance</t>
  </si>
  <si>
    <t>Pastry</t>
  </si>
  <si>
    <t>Prep</t>
  </si>
  <si>
    <t>Shucker</t>
  </si>
  <si>
    <t>Sous Chef</t>
  </si>
  <si>
    <t>Bartender</t>
  </si>
  <si>
    <t>Host</t>
  </si>
  <si>
    <t>Server</t>
  </si>
  <si>
    <t>Admin.</t>
  </si>
  <si>
    <t>Training</t>
  </si>
  <si>
    <t xml:space="preserve">                        Purchases from When to Manage</t>
  </si>
  <si>
    <t>Tableware:</t>
  </si>
  <si>
    <t>Closing Inv. from When to Manage</t>
  </si>
  <si>
    <t xml:space="preserve">      Ideal Cost from When to Manage</t>
  </si>
  <si>
    <t>Cheese:</t>
  </si>
  <si>
    <t>Weekly Total</t>
  </si>
  <si>
    <t>Max Fish</t>
  </si>
  <si>
    <t>Fish</t>
  </si>
  <si>
    <t>Date</t>
  </si>
  <si>
    <t>Busser 2:</t>
  </si>
  <si>
    <t>Busser 1:</t>
  </si>
  <si>
    <t>Busser 3:</t>
  </si>
  <si>
    <t>Busser 2</t>
  </si>
  <si>
    <t>Busser 3</t>
  </si>
  <si>
    <t>Busser 1</t>
  </si>
  <si>
    <t>Take Out/TPD/On-Line</t>
  </si>
  <si>
    <t>ChowNow:</t>
  </si>
  <si>
    <t>DineIN CT:</t>
  </si>
  <si>
    <t>DoorDash:</t>
  </si>
  <si>
    <t>PatronPath:</t>
  </si>
  <si>
    <t>ToGo:</t>
  </si>
  <si>
    <t>UberEats:</t>
  </si>
  <si>
    <t>Waiter:</t>
  </si>
  <si>
    <t>PROTEINS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</si>
</sst>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\-mmm\-yy;@"/>
    <numFmt numFmtId="166" formatCode="_(* #,##0.0_);_(* \(#,##0.0\);_(* &quot;-&quot;??_);_(@_)"/>
    <numFmt numFmtId="167" formatCode="0.0000000000000000%"/>
    <numFmt numFmtId="168" formatCode="_(&quot;$&quot;* #,##0_);_(&quot;$&quot;* \(#,##0\);_(&quot;$&quot;* &quot;-&quot;??_);_(@_)"/>
    <numFmt numFmtId="169" formatCode="[$-409]d\-mmm;@"/>
  </numFmts>
  <fonts count="4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b/>
      <u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 Unicode MS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u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6" tint="-0.249977111117893"/>
      <name val="Arial Unicode MS"/>
      <family val="2"/>
    </font>
    <font>
      <sz val="10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b/>
      <sz val="10"/>
      <color indexed="8"/>
      <name val="Arial Unicode MS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955">
    <xf numFmtId="0" fontId="0" fillId="0" borderId="0" xfId="0"/>
    <xf numFmtId="0" fontId="2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right"/>
    </xf>
    <xf numFmtId="10" fontId="7" fillId="0" borderId="5" xfId="3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8" fillId="0" borderId="8" xfId="0" applyFont="1" applyBorder="1"/>
    <xf numFmtId="0" fontId="4" fillId="0" borderId="0" xfId="0" applyFont="1" applyAlignment="1">
      <alignment horizontal="right"/>
    </xf>
    <xf numFmtId="0" fontId="8" fillId="0" borderId="9" xfId="0" applyFont="1" applyBorder="1"/>
    <xf numFmtId="0" fontId="0" fillId="0" borderId="10" xfId="0" applyBorder="1"/>
    <xf numFmtId="0" fontId="9" fillId="0" borderId="11" xfId="0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3" fontId="7" fillId="2" borderId="17" xfId="1" applyFill="1" applyBorder="1"/>
    <xf numFmtId="43" fontId="7" fillId="2" borderId="5" xfId="1" applyFill="1" applyBorder="1"/>
    <xf numFmtId="10" fontId="7" fillId="2" borderId="5" xfId="3" applyNumberFormat="1" applyFill="1" applyBorder="1"/>
    <xf numFmtId="164" fontId="7" fillId="2" borderId="18" xfId="1" applyNumberFormat="1" applyFill="1" applyBorder="1"/>
    <xf numFmtId="164" fontId="7" fillId="2" borderId="14" xfId="1" applyNumberFormat="1" applyFill="1" applyBorder="1"/>
    <xf numFmtId="10" fontId="7" fillId="2" borderId="16" xfId="3" applyNumberFormat="1" applyFill="1" applyBorder="1"/>
    <xf numFmtId="164" fontId="7" fillId="2" borderId="17" xfId="1" applyNumberFormat="1" applyFill="1" applyBorder="1"/>
    <xf numFmtId="10" fontId="7" fillId="2" borderId="18" xfId="3" applyNumberFormat="1" applyFill="1" applyBorder="1"/>
    <xf numFmtId="164" fontId="7" fillId="2" borderId="22" xfId="1" applyNumberFormat="1" applyFill="1" applyBorder="1"/>
    <xf numFmtId="10" fontId="7" fillId="2" borderId="19" xfId="3" applyNumberFormat="1" applyFill="1" applyBorder="1"/>
    <xf numFmtId="0" fontId="0" fillId="0" borderId="24" xfId="0" applyBorder="1"/>
    <xf numFmtId="0" fontId="9" fillId="0" borderId="25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0" fontId="7" fillId="0" borderId="0" xfId="3" applyNumberFormat="1"/>
    <xf numFmtId="43" fontId="7" fillId="0" borderId="0" xfId="1"/>
    <xf numFmtId="43" fontId="0" fillId="0" borderId="0" xfId="0" applyNumberFormat="1"/>
    <xf numFmtId="0" fontId="2" fillId="0" borderId="0" xfId="0" applyFont="1"/>
    <xf numFmtId="0" fontId="3" fillId="0" borderId="0" xfId="0" applyFont="1"/>
    <xf numFmtId="0" fontId="12" fillId="0" borderId="0" xfId="0" applyFont="1"/>
    <xf numFmtId="0" fontId="5" fillId="0" borderId="0" xfId="0" applyFont="1"/>
    <xf numFmtId="39" fontId="5" fillId="0" borderId="0" xfId="0" applyNumberFormat="1" applyFont="1"/>
    <xf numFmtId="10" fontId="5" fillId="0" borderId="0" xfId="0" applyNumberFormat="1" applyFont="1"/>
    <xf numFmtId="39" fontId="2" fillId="0" borderId="0" xfId="0" applyNumberFormat="1" applyFont="1"/>
    <xf numFmtId="10" fontId="2" fillId="0" borderId="0" xfId="0" applyNumberFormat="1" applyFont="1"/>
    <xf numFmtId="164" fontId="6" fillId="0" borderId="14" xfId="1" applyNumberFormat="1" applyFont="1" applyBorder="1"/>
    <xf numFmtId="164" fontId="6" fillId="0" borderId="30" xfId="1" applyNumberFormat="1" applyFont="1" applyBorder="1"/>
    <xf numFmtId="10" fontId="6" fillId="0" borderId="16" xfId="3" applyNumberFormat="1" applyFont="1" applyBorder="1"/>
    <xf numFmtId="164" fontId="6" fillId="0" borderId="17" xfId="1" applyNumberFormat="1" applyFont="1" applyBorder="1"/>
    <xf numFmtId="164" fontId="6" fillId="0" borderId="5" xfId="1" applyNumberFormat="1" applyFont="1" applyBorder="1"/>
    <xf numFmtId="10" fontId="6" fillId="0" borderId="18" xfId="3" applyNumberFormat="1" applyFont="1" applyBorder="1"/>
    <xf numFmtId="10" fontId="6" fillId="0" borderId="18" xfId="3" applyNumberFormat="1" applyFont="1" applyBorder="1" applyAlignment="1">
      <alignment horizontal="right"/>
    </xf>
    <xf numFmtId="164" fontId="6" fillId="0" borderId="31" xfId="1" applyNumberFormat="1" applyFont="1" applyBorder="1"/>
    <xf numFmtId="164" fontId="6" fillId="0" borderId="22" xfId="1" applyNumberFormat="1" applyFont="1" applyBorder="1"/>
    <xf numFmtId="164" fontId="6" fillId="0" borderId="33" xfId="1" applyNumberFormat="1" applyFont="1" applyBorder="1"/>
    <xf numFmtId="10" fontId="6" fillId="0" borderId="19" xfId="3" applyNumberFormat="1" applyFont="1" applyBorder="1"/>
    <xf numFmtId="164" fontId="6" fillId="0" borderId="0" xfId="1" applyNumberFormat="1" applyFont="1"/>
    <xf numFmtId="10" fontId="6" fillId="0" borderId="0" xfId="3" applyNumberFormat="1" applyFont="1"/>
    <xf numFmtId="37" fontId="6" fillId="0" borderId="0" xfId="0" applyNumberFormat="1" applyFont="1"/>
    <xf numFmtId="10" fontId="6" fillId="0" borderId="0" xfId="3" applyNumberFormat="1" applyFont="1" applyAlignment="1">
      <alignment horizontal="right"/>
    </xf>
    <xf numFmtId="10" fontId="6" fillId="0" borderId="20" xfId="3" applyNumberFormat="1" applyFont="1" applyBorder="1"/>
    <xf numFmtId="164" fontId="6" fillId="0" borderId="34" xfId="1" applyNumberFormat="1" applyFont="1" applyBorder="1"/>
    <xf numFmtId="10" fontId="6" fillId="0" borderId="21" xfId="3" applyNumberFormat="1" applyFont="1" applyBorder="1"/>
    <xf numFmtId="10" fontId="6" fillId="0" borderId="23" xfId="3" applyNumberFormat="1" applyFont="1" applyBorder="1"/>
    <xf numFmtId="164" fontId="3" fillId="0" borderId="0" xfId="0" applyNumberFormat="1" applyFont="1"/>
    <xf numFmtId="164" fontId="5" fillId="0" borderId="0" xfId="1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39" fontId="6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43" fontId="3" fillId="0" borderId="5" xfId="1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39" fontId="6" fillId="0" borderId="5" xfId="0" applyNumberFormat="1" applyFont="1" applyBorder="1"/>
    <xf numFmtId="39" fontId="6" fillId="0" borderId="5" xfId="0" applyNumberFormat="1" applyFont="1" applyBorder="1" applyAlignment="1">
      <alignment horizontal="center"/>
    </xf>
    <xf numFmtId="43" fontId="6" fillId="0" borderId="5" xfId="1" applyFont="1" applyBorder="1"/>
    <xf numFmtId="10" fontId="5" fillId="0" borderId="5" xfId="3" applyNumberFormat="1" applyFont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43" fontId="6" fillId="0" borderId="18" xfId="0" applyNumberFormat="1" applyFont="1" applyBorder="1"/>
    <xf numFmtId="39" fontId="3" fillId="0" borderId="5" xfId="2" applyNumberFormat="1" applyFont="1" applyBorder="1"/>
    <xf numFmtId="164" fontId="6" fillId="0" borderId="18" xfId="0" applyNumberFormat="1" applyFont="1" applyBorder="1"/>
    <xf numFmtId="44" fontId="6" fillId="0" borderId="5" xfId="2" applyFont="1" applyBorder="1"/>
    <xf numFmtId="39" fontId="6" fillId="0" borderId="35" xfId="0" applyNumberFormat="1" applyFont="1" applyBorder="1"/>
    <xf numFmtId="164" fontId="6" fillId="0" borderId="35" xfId="1" applyNumberFormat="1" applyFont="1" applyBorder="1"/>
    <xf numFmtId="39" fontId="5" fillId="0" borderId="14" xfId="0" applyNumberFormat="1" applyFont="1" applyBorder="1"/>
    <xf numFmtId="39" fontId="5" fillId="0" borderId="15" xfId="0" applyNumberFormat="1" applyFont="1" applyBorder="1"/>
    <xf numFmtId="43" fontId="5" fillId="0" borderId="15" xfId="1" applyFont="1" applyBorder="1"/>
    <xf numFmtId="10" fontId="5" fillId="0" borderId="15" xfId="3" applyNumberFormat="1" applyFont="1" applyBorder="1" applyAlignment="1">
      <alignment horizontal="center"/>
    </xf>
    <xf numFmtId="39" fontId="5" fillId="0" borderId="16" xfId="0" applyNumberFormat="1" applyFont="1" applyBorder="1"/>
    <xf numFmtId="39" fontId="5" fillId="0" borderId="17" xfId="1" applyNumberFormat="1" applyFont="1" applyBorder="1"/>
    <xf numFmtId="39" fontId="5" fillId="0" borderId="5" xfId="1" applyNumberFormat="1" applyFont="1" applyBorder="1"/>
    <xf numFmtId="43" fontId="5" fillId="0" borderId="5" xfId="1" applyFont="1" applyBorder="1"/>
    <xf numFmtId="39" fontId="5" fillId="0" borderId="18" xfId="1" applyNumberFormat="1" applyFont="1" applyBorder="1"/>
    <xf numFmtId="39" fontId="5" fillId="0" borderId="22" xfId="1" applyNumberFormat="1" applyFont="1" applyBorder="1"/>
    <xf numFmtId="39" fontId="5" fillId="0" borderId="32" xfId="1" applyNumberFormat="1" applyFont="1" applyBorder="1"/>
    <xf numFmtId="43" fontId="5" fillId="0" borderId="32" xfId="1" applyFont="1" applyBorder="1"/>
    <xf numFmtId="10" fontId="5" fillId="0" borderId="32" xfId="3" applyNumberFormat="1" applyFont="1" applyBorder="1" applyAlignment="1">
      <alignment horizontal="center"/>
    </xf>
    <xf numFmtId="39" fontId="5" fillId="0" borderId="19" xfId="1" applyNumberFormat="1" applyFont="1" applyBorder="1"/>
    <xf numFmtId="43" fontId="3" fillId="0" borderId="0" xfId="1" applyFont="1"/>
    <xf numFmtId="164" fontId="3" fillId="0" borderId="5" xfId="1" applyNumberFormat="1" applyFont="1" applyBorder="1"/>
    <xf numFmtId="164" fontId="3" fillId="0" borderId="5" xfId="0" applyNumberFormat="1" applyFont="1" applyBorder="1"/>
    <xf numFmtId="164" fontId="3" fillId="0" borderId="17" xfId="1" applyNumberFormat="1" applyFont="1" applyBorder="1"/>
    <xf numFmtId="164" fontId="3" fillId="0" borderId="18" xfId="0" applyNumberFormat="1" applyFont="1" applyBorder="1"/>
    <xf numFmtId="164" fontId="3" fillId="0" borderId="32" xfId="0" applyNumberFormat="1" applyFont="1" applyBorder="1"/>
    <xf numFmtId="164" fontId="3" fillId="0" borderId="19" xfId="0" applyNumberFormat="1" applyFont="1" applyBorder="1"/>
    <xf numFmtId="164" fontId="3" fillId="0" borderId="36" xfId="1" applyNumberFormat="1" applyFont="1" applyBorder="1"/>
    <xf numFmtId="164" fontId="3" fillId="0" borderId="37" xfId="0" applyNumberFormat="1" applyFont="1" applyBorder="1"/>
    <xf numFmtId="164" fontId="3" fillId="0" borderId="37" xfId="1" applyNumberFormat="1" applyFont="1" applyBorder="1"/>
    <xf numFmtId="164" fontId="3" fillId="0" borderId="38" xfId="0" applyNumberFormat="1" applyFont="1" applyBorder="1"/>
    <xf numFmtId="164" fontId="5" fillId="0" borderId="14" xfId="1" applyNumberFormat="1" applyFont="1" applyBorder="1"/>
    <xf numFmtId="164" fontId="5" fillId="0" borderId="17" xfId="1" applyNumberFormat="1" applyFont="1" applyBorder="1"/>
    <xf numFmtId="164" fontId="5" fillId="0" borderId="22" xfId="1" applyNumberFormat="1" applyFont="1" applyBorder="1"/>
    <xf numFmtId="164" fontId="5" fillId="0" borderId="42" xfId="1" applyNumberFormat="1" applyFont="1" applyBorder="1"/>
    <xf numFmtId="0" fontId="2" fillId="0" borderId="17" xfId="0" applyFont="1" applyBorder="1" applyAlignment="1">
      <alignment horizontal="center"/>
    </xf>
    <xf numFmtId="39" fontId="5" fillId="0" borderId="17" xfId="0" applyNumberFormat="1" applyFont="1" applyBorder="1"/>
    <xf numFmtId="39" fontId="5" fillId="0" borderId="39" xfId="0" applyNumberFormat="1" applyFont="1" applyBorder="1"/>
    <xf numFmtId="10" fontId="5" fillId="0" borderId="45" xfId="3" applyNumberFormat="1" applyFont="1" applyBorder="1"/>
    <xf numFmtId="164" fontId="5" fillId="0" borderId="46" xfId="1" applyNumberFormat="1" applyFont="1" applyBorder="1"/>
    <xf numFmtId="10" fontId="5" fillId="0" borderId="41" xfId="3" applyNumberFormat="1" applyFont="1" applyBorder="1"/>
    <xf numFmtId="10" fontId="5" fillId="0" borderId="41" xfId="3" applyNumberFormat="1" applyFont="1" applyBorder="1" applyAlignment="1">
      <alignment horizontal="right"/>
    </xf>
    <xf numFmtId="164" fontId="5" fillId="0" borderId="48" xfId="1" applyNumberFormat="1" applyFont="1" applyBorder="1"/>
    <xf numFmtId="10" fontId="5" fillId="0" borderId="47" xfId="3" applyNumberFormat="1" applyFont="1" applyBorder="1"/>
    <xf numFmtId="166" fontId="6" fillId="0" borderId="0" xfId="1" applyNumberFormat="1" applyFont="1"/>
    <xf numFmtId="166" fontId="6" fillId="0" borderId="0" xfId="1" applyNumberFormat="1" applyFont="1" applyAlignment="1">
      <alignment horizontal="right"/>
    </xf>
    <xf numFmtId="10" fontId="6" fillId="0" borderId="49" xfId="3" applyNumberFormat="1" applyFont="1" applyBorder="1"/>
    <xf numFmtId="10" fontId="6" fillId="0" borderId="16" xfId="3" applyNumberFormat="1" applyFont="1" applyBorder="1" applyAlignment="1">
      <alignment horizontal="right"/>
    </xf>
    <xf numFmtId="10" fontId="6" fillId="0" borderId="19" xfId="3" applyNumberFormat="1" applyFont="1" applyBorder="1" applyAlignment="1">
      <alignment horizontal="right"/>
    </xf>
    <xf numFmtId="164" fontId="5" fillId="0" borderId="5" xfId="1" applyNumberFormat="1" applyFont="1" applyBorder="1"/>
    <xf numFmtId="164" fontId="5" fillId="0" borderId="15" xfId="1" applyNumberFormat="1" applyFont="1" applyBorder="1"/>
    <xf numFmtId="164" fontId="5" fillId="0" borderId="40" xfId="1" applyNumberFormat="1" applyFont="1" applyBorder="1"/>
    <xf numFmtId="10" fontId="5" fillId="0" borderId="51" xfId="3" applyNumberFormat="1" applyFont="1" applyBorder="1"/>
    <xf numFmtId="164" fontId="5" fillId="0" borderId="32" xfId="1" applyNumberFormat="1" applyFont="1" applyBorder="1"/>
    <xf numFmtId="10" fontId="6" fillId="0" borderId="20" xfId="3" applyNumberFormat="1" applyFont="1" applyBorder="1" applyAlignment="1">
      <alignment horizontal="right"/>
    </xf>
    <xf numFmtId="10" fontId="6" fillId="0" borderId="21" xfId="3" applyNumberFormat="1" applyFont="1" applyBorder="1" applyAlignment="1">
      <alignment horizontal="right"/>
    </xf>
    <xf numFmtId="10" fontId="6" fillId="0" borderId="23" xfId="3" applyNumberFormat="1" applyFont="1" applyBorder="1" applyAlignment="1">
      <alignment horizontal="right"/>
    </xf>
    <xf numFmtId="164" fontId="5" fillId="0" borderId="43" xfId="1" applyNumberFormat="1" applyFont="1" applyBorder="1"/>
    <xf numFmtId="164" fontId="3" fillId="0" borderId="15" xfId="0" applyNumberFormat="1" applyFont="1" applyBorder="1"/>
    <xf numFmtId="164" fontId="3" fillId="0" borderId="16" xfId="0" applyNumberFormat="1" applyFont="1" applyBorder="1"/>
    <xf numFmtId="43" fontId="8" fillId="2" borderId="46" xfId="0" applyNumberFormat="1" applyFont="1" applyFill="1" applyBorder="1"/>
    <xf numFmtId="43" fontId="8" fillId="2" borderId="40" xfId="0" applyNumberFormat="1" applyFont="1" applyFill="1" applyBorder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3" fillId="0" borderId="1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14" fillId="0" borderId="0" xfId="0" applyFont="1"/>
    <xf numFmtId="10" fontId="14" fillId="0" borderId="5" xfId="3" applyNumberFormat="1" applyFont="1" applyBorder="1"/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5" xfId="0" applyBorder="1"/>
    <xf numFmtId="0" fontId="0" fillId="0" borderId="3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8" xfId="0" applyBorder="1" applyAlignment="1">
      <alignment horizontal="center"/>
    </xf>
    <xf numFmtId="0" fontId="0" fillId="0" borderId="18" xfId="0" applyBorder="1"/>
    <xf numFmtId="0" fontId="0" fillId="0" borderId="10" xfId="0" applyBorder="1" applyAlignment="1">
      <alignment horizontal="center"/>
    </xf>
    <xf numFmtId="0" fontId="0" fillId="0" borderId="32" xfId="0" applyBorder="1"/>
    <xf numFmtId="0" fontId="0" fillId="0" borderId="19" xfId="0" applyBorder="1"/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164" fontId="8" fillId="2" borderId="22" xfId="0" applyNumberFormat="1" applyFont="1" applyFill="1" applyBorder="1"/>
    <xf numFmtId="10" fontId="8" fillId="2" borderId="19" xfId="3" applyNumberFormat="1" applyFont="1" applyFill="1" applyBorder="1"/>
    <xf numFmtId="37" fontId="2" fillId="0" borderId="14" xfId="0" applyNumberFormat="1" applyFont="1" applyBorder="1"/>
    <xf numFmtId="10" fontId="2" fillId="0" borderId="16" xfId="3" applyNumberFormat="1" applyFont="1" applyBorder="1"/>
    <xf numFmtId="164" fontId="2" fillId="0" borderId="17" xfId="0" applyNumberFormat="1" applyFont="1" applyBorder="1"/>
    <xf numFmtId="10" fontId="2" fillId="0" borderId="18" xfId="3" applyNumberFormat="1" applyFont="1" applyBorder="1"/>
    <xf numFmtId="37" fontId="2" fillId="0" borderId="22" xfId="0" applyNumberFormat="1" applyFont="1" applyBorder="1"/>
    <xf numFmtId="10" fontId="2" fillId="0" borderId="19" xfId="3" applyNumberFormat="1" applyFont="1" applyBorder="1"/>
    <xf numFmtId="164" fontId="5" fillId="0" borderId="36" xfId="1" applyNumberFormat="1" applyFont="1" applyBorder="1"/>
    <xf numFmtId="164" fontId="6" fillId="0" borderId="37" xfId="1" applyNumberFormat="1" applyFont="1" applyBorder="1"/>
    <xf numFmtId="43" fontId="2" fillId="3" borderId="24" xfId="1" applyFont="1" applyFill="1" applyBorder="1"/>
    <xf numFmtId="43" fontId="3" fillId="0" borderId="52" xfId="1" applyFont="1" applyBorder="1"/>
    <xf numFmtId="43" fontId="3" fillId="0" borderId="53" xfId="1" applyFont="1" applyBorder="1"/>
    <xf numFmtId="43" fontId="2" fillId="3" borderId="1" xfId="1" applyFont="1" applyFill="1" applyBorder="1"/>
    <xf numFmtId="43" fontId="3" fillId="0" borderId="54" xfId="1" applyFont="1" applyBorder="1"/>
    <xf numFmtId="43" fontId="3" fillId="0" borderId="55" xfId="1" applyFont="1" applyBorder="1"/>
    <xf numFmtId="43" fontId="3" fillId="0" borderId="56" xfId="1" applyFont="1" applyBorder="1"/>
    <xf numFmtId="43" fontId="3" fillId="0" borderId="57" xfId="1" applyFont="1" applyBorder="1"/>
    <xf numFmtId="43" fontId="3" fillId="0" borderId="58" xfId="1" applyFont="1" applyBorder="1"/>
    <xf numFmtId="0" fontId="2" fillId="4" borderId="2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43" fontId="2" fillId="4" borderId="24" xfId="1" applyFont="1" applyFill="1" applyBorder="1"/>
    <xf numFmtId="43" fontId="2" fillId="4" borderId="1" xfId="1" applyFont="1" applyFill="1" applyBorder="1"/>
    <xf numFmtId="43" fontId="3" fillId="0" borderId="44" xfId="1" applyFont="1" applyBorder="1" applyAlignment="1">
      <alignment horizontal="center" wrapText="1"/>
    </xf>
    <xf numFmtId="43" fontId="3" fillId="0" borderId="47" xfId="1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43" fontId="3" fillId="0" borderId="59" xfId="1" applyFont="1" applyBorder="1"/>
    <xf numFmtId="0" fontId="4" fillId="0" borderId="13" xfId="0" applyFont="1" applyBorder="1" applyAlignment="1">
      <alignment horizontal="right"/>
    </xf>
    <xf numFmtId="10" fontId="1" fillId="0" borderId="9" xfId="3" applyNumberFormat="1" applyFont="1" applyBorder="1"/>
    <xf numFmtId="165" fontId="3" fillId="0" borderId="0" xfId="1" applyNumberFormat="1" applyFont="1"/>
    <xf numFmtId="43" fontId="0" fillId="0" borderId="42" xfId="0" applyNumberFormat="1" applyBorder="1"/>
    <xf numFmtId="43" fontId="0" fillId="0" borderId="44" xfId="0" applyNumberFormat="1" applyBorder="1"/>
    <xf numFmtId="43" fontId="0" fillId="0" borderId="45" xfId="0" applyNumberFormat="1" applyBorder="1"/>
    <xf numFmtId="43" fontId="0" fillId="0" borderId="47" xfId="0" applyNumberFormat="1" applyBorder="1"/>
    <xf numFmtId="0" fontId="18" fillId="0" borderId="0" xfId="0" applyFont="1"/>
    <xf numFmtId="4" fontId="0" fillId="0" borderId="0" xfId="0" applyNumberFormat="1"/>
    <xf numFmtId="14" fontId="0" fillId="0" borderId="0" xfId="0" applyNumberFormat="1"/>
    <xf numFmtId="0" fontId="19" fillId="0" borderId="0" xfId="0" applyFont="1" applyAlignment="1">
      <alignment horizontal="right"/>
    </xf>
    <xf numFmtId="164" fontId="1" fillId="5" borderId="14" xfId="1" applyNumberFormat="1" applyFont="1" applyFill="1" applyBorder="1"/>
    <xf numFmtId="10" fontId="1" fillId="5" borderId="16" xfId="3" applyNumberFormat="1" applyFont="1" applyFill="1" applyBorder="1"/>
    <xf numFmtId="0" fontId="25" fillId="0" borderId="0" xfId="0" applyFont="1" applyAlignment="1">
      <alignment horizontal="right"/>
    </xf>
    <xf numFmtId="164" fontId="20" fillId="5" borderId="17" xfId="1" applyNumberFormat="1" applyFont="1" applyFill="1" applyBorder="1"/>
    <xf numFmtId="10" fontId="20" fillId="5" borderId="18" xfId="3" applyNumberFormat="1" applyFont="1" applyFill="1" applyBorder="1"/>
    <xf numFmtId="0" fontId="25" fillId="0" borderId="11" xfId="0" applyFont="1" applyBorder="1" applyAlignment="1">
      <alignment horizontal="right"/>
    </xf>
    <xf numFmtId="164" fontId="20" fillId="5" borderId="22" xfId="1" applyNumberFormat="1" applyFont="1" applyFill="1" applyBorder="1"/>
    <xf numFmtId="10" fontId="20" fillId="5" borderId="19" xfId="3" applyNumberFormat="1" applyFont="1" applyFill="1" applyBorder="1"/>
    <xf numFmtId="0" fontId="9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25" xfId="0" applyBorder="1"/>
    <xf numFmtId="43" fontId="3" fillId="0" borderId="5" xfId="1" applyFont="1" applyBorder="1"/>
    <xf numFmtId="43" fontId="3" fillId="0" borderId="17" xfId="1" applyFont="1" applyBorder="1"/>
    <xf numFmtId="43" fontId="3" fillId="0" borderId="32" xfId="1" applyFont="1" applyBorder="1"/>
    <xf numFmtId="43" fontId="1" fillId="0" borderId="36" xfId="1" applyFont="1" applyBorder="1"/>
    <xf numFmtId="43" fontId="1" fillId="0" borderId="37" xfId="1" applyFont="1" applyBorder="1"/>
    <xf numFmtId="43" fontId="1" fillId="0" borderId="38" xfId="1" applyFont="1" applyBorder="1"/>
    <xf numFmtId="43" fontId="1" fillId="0" borderId="18" xfId="1" applyFont="1" applyBorder="1"/>
    <xf numFmtId="43" fontId="1" fillId="0" borderId="19" xfId="1" applyFont="1" applyBorder="1"/>
    <xf numFmtId="43" fontId="3" fillId="0" borderId="22" xfId="1" applyFont="1" applyBorder="1"/>
    <xf numFmtId="43" fontId="30" fillId="0" borderId="5" xfId="1" applyFont="1" applyBorder="1"/>
    <xf numFmtId="43" fontId="30" fillId="0" borderId="32" xfId="1" applyFont="1" applyBorder="1"/>
    <xf numFmtId="0" fontId="32" fillId="0" borderId="0" xfId="0" applyFont="1"/>
    <xf numFmtId="0" fontId="28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43" fontId="0" fillId="0" borderId="18" xfId="0" applyNumberFormat="1" applyBorder="1"/>
    <xf numFmtId="43" fontId="0" fillId="0" borderId="19" xfId="0" applyNumberFormat="1" applyBorder="1"/>
    <xf numFmtId="43" fontId="30" fillId="0" borderId="0" xfId="1" applyFont="1"/>
    <xf numFmtId="0" fontId="18" fillId="0" borderId="0" xfId="0" applyFont="1" applyAlignment="1">
      <alignment horizontal="center"/>
    </xf>
    <xf numFmtId="10" fontId="3" fillId="0" borderId="0" xfId="3" applyNumberFormat="1" applyFont="1"/>
    <xf numFmtId="43" fontId="2" fillId="7" borderId="15" xfId="1" applyFont="1" applyFill="1" applyBorder="1" applyAlignment="1">
      <alignment horizontal="center"/>
    </xf>
    <xf numFmtId="43" fontId="3" fillId="7" borderId="15" xfId="1" applyFont="1" applyFill="1" applyBorder="1" applyAlignment="1">
      <alignment horizontal="center" wrapText="1"/>
    </xf>
    <xf numFmtId="43" fontId="3" fillId="7" borderId="16" xfId="1" applyFont="1" applyFill="1" applyBorder="1" applyAlignment="1">
      <alignment horizontal="center" wrapText="1"/>
    </xf>
    <xf numFmtId="0" fontId="2" fillId="7" borderId="16" xfId="0" applyFont="1" applyFill="1" applyBorder="1" applyAlignment="1">
      <alignment horizontal="center"/>
    </xf>
    <xf numFmtId="10" fontId="2" fillId="0" borderId="42" xfId="1" applyNumberFormat="1" applyFont="1" applyBorder="1" applyAlignment="1">
      <alignment horizontal="center"/>
    </xf>
    <xf numFmtId="43" fontId="2" fillId="0" borderId="45" xfId="1" applyFont="1" applyBorder="1" applyAlignment="1">
      <alignment horizontal="center"/>
    </xf>
    <xf numFmtId="43" fontId="3" fillId="0" borderId="42" xfId="1" applyFont="1" applyBorder="1" applyAlignment="1">
      <alignment horizontal="center"/>
    </xf>
    <xf numFmtId="43" fontId="8" fillId="2" borderId="40" xfId="1" applyFont="1" applyFill="1" applyBorder="1"/>
    <xf numFmtId="43" fontId="4" fillId="7" borderId="37" xfId="1" applyFont="1" applyFill="1" applyBorder="1"/>
    <xf numFmtId="43" fontId="4" fillId="7" borderId="38" xfId="1" applyFont="1" applyFill="1" applyBorder="1"/>
    <xf numFmtId="0" fontId="29" fillId="0" borderId="0" xfId="0" applyFont="1" applyAlignment="1">
      <alignment horizontal="right"/>
    </xf>
    <xf numFmtId="0" fontId="29" fillId="0" borderId="0" xfId="0" applyFont="1"/>
    <xf numFmtId="43" fontId="4" fillId="0" borderId="0" xfId="1" applyFont="1"/>
    <xf numFmtId="10" fontId="8" fillId="2" borderId="40" xfId="0" applyNumberFormat="1" applyFont="1" applyFill="1" applyBorder="1"/>
    <xf numFmtId="164" fontId="8" fillId="2" borderId="41" xfId="0" applyNumberFormat="1" applyFont="1" applyFill="1" applyBorder="1"/>
    <xf numFmtId="43" fontId="8" fillId="2" borderId="46" xfId="1" applyFont="1" applyFill="1" applyBorder="1"/>
    <xf numFmtId="10" fontId="8" fillId="2" borderId="40" xfId="3" applyNumberFormat="1" applyFont="1" applyFill="1" applyBorder="1"/>
    <xf numFmtId="164" fontId="8" fillId="2" borderId="41" xfId="1" applyNumberFormat="1" applyFont="1" applyFill="1" applyBorder="1"/>
    <xf numFmtId="0" fontId="0" fillId="7" borderId="14" xfId="0" applyFill="1" applyBorder="1"/>
    <xf numFmtId="0" fontId="0" fillId="7" borderId="15" xfId="0" applyFill="1" applyBorder="1"/>
    <xf numFmtId="43" fontId="7" fillId="2" borderId="22" xfId="1" applyFill="1" applyBorder="1"/>
    <xf numFmtId="43" fontId="7" fillId="2" borderId="32" xfId="1" applyFill="1" applyBorder="1"/>
    <xf numFmtId="10" fontId="7" fillId="2" borderId="32" xfId="3" applyNumberFormat="1" applyFill="1" applyBorder="1"/>
    <xf numFmtId="164" fontId="7" fillId="2" borderId="19" xfId="1" applyNumberFormat="1" applyFill="1" applyBorder="1"/>
    <xf numFmtId="43" fontId="8" fillId="2" borderId="2" xfId="1" applyFont="1" applyFill="1" applyBorder="1"/>
    <xf numFmtId="43" fontId="8" fillId="2" borderId="3" xfId="1" applyFont="1" applyFill="1" applyBorder="1"/>
    <xf numFmtId="10" fontId="8" fillId="2" borderId="3" xfId="3" applyNumberFormat="1" applyFont="1" applyFill="1" applyBorder="1"/>
    <xf numFmtId="164" fontId="8" fillId="2" borderId="4" xfId="1" applyNumberFormat="1" applyFont="1" applyFill="1" applyBorder="1"/>
    <xf numFmtId="10" fontId="8" fillId="0" borderId="0" xfId="3" applyNumberFormat="1" applyFont="1"/>
    <xf numFmtId="164" fontId="8" fillId="0" borderId="0" xfId="1" applyNumberFormat="1" applyFont="1"/>
    <xf numFmtId="164" fontId="8" fillId="0" borderId="0" xfId="0" applyNumberFormat="1" applyFont="1"/>
    <xf numFmtId="164" fontId="2" fillId="8" borderId="14" xfId="1" applyNumberFormat="1" applyFont="1" applyFill="1" applyBorder="1" applyAlignment="1">
      <alignment horizontal="center"/>
    </xf>
    <xf numFmtId="10" fontId="2" fillId="8" borderId="15" xfId="3" applyNumberFormat="1" applyFont="1" applyFill="1" applyBorder="1"/>
    <xf numFmtId="164" fontId="2" fillId="0" borderId="15" xfId="1" applyNumberFormat="1" applyFont="1" applyBorder="1" applyAlignment="1">
      <alignment horizontal="center"/>
    </xf>
    <xf numFmtId="164" fontId="2" fillId="8" borderId="16" xfId="1" applyNumberFormat="1" applyFont="1" applyFill="1" applyBorder="1" applyAlignment="1">
      <alignment horizontal="center"/>
    </xf>
    <xf numFmtId="164" fontId="2" fillId="8" borderId="17" xfId="1" applyNumberFormat="1" applyFont="1" applyFill="1" applyBorder="1"/>
    <xf numFmtId="10" fontId="2" fillId="8" borderId="5" xfId="3" applyNumberFormat="1" applyFont="1" applyFill="1" applyBorder="1"/>
    <xf numFmtId="164" fontId="2" fillId="0" borderId="5" xfId="1" applyNumberFormat="1" applyFont="1" applyBorder="1"/>
    <xf numFmtId="164" fontId="2" fillId="8" borderId="18" xfId="1" applyNumberFormat="1" applyFont="1" applyFill="1" applyBorder="1"/>
    <xf numFmtId="164" fontId="2" fillId="8" borderId="22" xfId="1" applyNumberFormat="1" applyFont="1" applyFill="1" applyBorder="1"/>
    <xf numFmtId="10" fontId="2" fillId="8" borderId="32" xfId="3" applyNumberFormat="1" applyFont="1" applyFill="1" applyBorder="1"/>
    <xf numFmtId="164" fontId="2" fillId="8" borderId="32" xfId="1" applyNumberFormat="1" applyFont="1" applyFill="1" applyBorder="1"/>
    <xf numFmtId="164" fontId="2" fillId="8" borderId="19" xfId="1" applyNumberFormat="1" applyFont="1" applyFill="1" applyBorder="1"/>
    <xf numFmtId="164" fontId="2" fillId="8" borderId="1" xfId="1" applyNumberFormat="1" applyFont="1" applyFill="1" applyBorder="1"/>
    <xf numFmtId="10" fontId="2" fillId="0" borderId="0" xfId="3" applyNumberFormat="1" applyFont="1"/>
    <xf numFmtId="164" fontId="2" fillId="0" borderId="0" xfId="1" applyNumberFormat="1" applyFont="1"/>
    <xf numFmtId="164" fontId="30" fillId="0" borderId="0" xfId="1" applyNumberFormat="1" applyFont="1"/>
    <xf numFmtId="43" fontId="30" fillId="0" borderId="5" xfId="1" applyFont="1" applyBorder="1" applyAlignment="1">
      <alignment horizontal="center" wrapText="1"/>
    </xf>
    <xf numFmtId="164" fontId="30" fillId="0" borderId="17" xfId="1" applyNumberFormat="1" applyFont="1" applyBorder="1" applyAlignment="1">
      <alignment horizontal="center" wrapText="1"/>
    </xf>
    <xf numFmtId="164" fontId="30" fillId="0" borderId="18" xfId="1" applyNumberFormat="1" applyFont="1" applyBorder="1" applyAlignment="1">
      <alignment horizontal="center" wrapText="1"/>
    </xf>
    <xf numFmtId="164" fontId="30" fillId="0" borderId="17" xfId="1" applyNumberFormat="1" applyFont="1" applyBorder="1"/>
    <xf numFmtId="164" fontId="30" fillId="0" borderId="18" xfId="1" applyNumberFormat="1" applyFont="1" applyBorder="1"/>
    <xf numFmtId="164" fontId="30" fillId="0" borderId="8" xfId="1" applyNumberFormat="1" applyFont="1" applyBorder="1"/>
    <xf numFmtId="164" fontId="30" fillId="0" borderId="9" xfId="1" applyNumberFormat="1" applyFont="1" applyBorder="1"/>
    <xf numFmtId="164" fontId="30" fillId="0" borderId="10" xfId="1" applyNumberFormat="1" applyFont="1" applyBorder="1"/>
    <xf numFmtId="164" fontId="30" fillId="0" borderId="12" xfId="1" applyNumberFormat="1" applyFont="1" applyBorder="1"/>
    <xf numFmtId="0" fontId="0" fillId="0" borderId="3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43" fontId="30" fillId="0" borderId="31" xfId="1" applyFont="1" applyBorder="1"/>
    <xf numFmtId="164" fontId="30" fillId="0" borderId="22" xfId="1" applyNumberFormat="1" applyFont="1" applyBorder="1"/>
    <xf numFmtId="164" fontId="30" fillId="0" borderId="19" xfId="1" applyNumberFormat="1" applyFont="1" applyBorder="1"/>
    <xf numFmtId="43" fontId="30" fillId="0" borderId="33" xfId="1" applyFont="1" applyBorder="1"/>
    <xf numFmtId="164" fontId="30" fillId="0" borderId="14" xfId="1" applyNumberFormat="1" applyFont="1" applyBorder="1"/>
    <xf numFmtId="164" fontId="30" fillId="0" borderId="16" xfId="1" applyNumberFormat="1" applyFont="1" applyBorder="1"/>
    <xf numFmtId="164" fontId="30" fillId="0" borderId="42" xfId="1" applyNumberFormat="1" applyFont="1" applyBorder="1"/>
    <xf numFmtId="164" fontId="30" fillId="0" borderId="47" xfId="1" applyNumberFormat="1" applyFont="1" applyBorder="1"/>
    <xf numFmtId="10" fontId="30" fillId="0" borderId="22" xfId="3" applyNumberFormat="1" applyFont="1" applyBorder="1"/>
    <xf numFmtId="10" fontId="32" fillId="0" borderId="58" xfId="3" applyNumberFormat="1" applyFont="1" applyBorder="1" applyAlignment="1">
      <alignment horizontal="right"/>
    </xf>
    <xf numFmtId="10" fontId="32" fillId="0" borderId="55" xfId="3" applyNumberFormat="1" applyFont="1" applyBorder="1" applyAlignment="1">
      <alignment horizontal="right"/>
    </xf>
    <xf numFmtId="10" fontId="32" fillId="0" borderId="64" xfId="3" applyNumberFormat="1" applyFont="1" applyBorder="1" applyAlignment="1">
      <alignment horizontal="right"/>
    </xf>
    <xf numFmtId="164" fontId="31" fillId="0" borderId="5" xfId="1" applyNumberFormat="1" applyFont="1" applyBorder="1" applyAlignment="1">
      <alignment horizontal="center" wrapText="1"/>
    </xf>
    <xf numFmtId="164" fontId="31" fillId="0" borderId="5" xfId="1" applyNumberFormat="1" applyFont="1" applyBorder="1"/>
    <xf numFmtId="164" fontId="31" fillId="0" borderId="32" xfId="1" applyNumberFormat="1" applyFont="1" applyBorder="1"/>
    <xf numFmtId="164" fontId="31" fillId="0" borderId="0" xfId="1" applyNumberFormat="1" applyFont="1"/>
    <xf numFmtId="164" fontId="31" fillId="0" borderId="15" xfId="1" applyNumberFormat="1" applyFont="1" applyBorder="1"/>
    <xf numFmtId="164" fontId="31" fillId="0" borderId="44" xfId="1" applyNumberFormat="1" applyFont="1" applyBorder="1"/>
    <xf numFmtId="164" fontId="31" fillId="0" borderId="35" xfId="1" applyNumberFormat="1" applyFont="1" applyBorder="1"/>
    <xf numFmtId="10" fontId="31" fillId="0" borderId="32" xfId="3" applyNumberFormat="1" applyFont="1" applyBorder="1"/>
    <xf numFmtId="164" fontId="31" fillId="0" borderId="37" xfId="1" applyNumberFormat="1" applyFont="1" applyBorder="1"/>
    <xf numFmtId="43" fontId="31" fillId="0" borderId="5" xfId="1" applyFont="1" applyBorder="1" applyAlignment="1">
      <alignment horizontal="center" wrapText="1"/>
    </xf>
    <xf numFmtId="4" fontId="0" fillId="0" borderId="0" xfId="0" applyNumberFormat="1" applyAlignment="1">
      <alignment wrapText="1"/>
    </xf>
    <xf numFmtId="10" fontId="1" fillId="9" borderId="15" xfId="3" applyNumberFormat="1" applyFont="1" applyFill="1" applyBorder="1"/>
    <xf numFmtId="0" fontId="27" fillId="10" borderId="46" xfId="0" applyFont="1" applyFill="1" applyBorder="1" applyAlignment="1">
      <alignment horizontal="center"/>
    </xf>
    <xf numFmtId="0" fontId="27" fillId="10" borderId="40" xfId="0" applyFont="1" applyFill="1" applyBorder="1" applyAlignment="1">
      <alignment horizontal="center"/>
    </xf>
    <xf numFmtId="0" fontId="27" fillId="10" borderId="41" xfId="0" applyFont="1" applyFill="1" applyBorder="1" applyAlignment="1">
      <alignment horizontal="center"/>
    </xf>
    <xf numFmtId="0" fontId="27" fillId="10" borderId="43" xfId="0" applyFont="1" applyFill="1" applyBorder="1" applyAlignment="1">
      <alignment horizontal="center"/>
    </xf>
    <xf numFmtId="43" fontId="3" fillId="11" borderId="17" xfId="1" applyFont="1" applyFill="1" applyBorder="1"/>
    <xf numFmtId="43" fontId="3" fillId="11" borderId="5" xfId="1" applyFont="1" applyFill="1" applyBorder="1"/>
    <xf numFmtId="10" fontId="3" fillId="11" borderId="21" xfId="1" applyNumberFormat="1" applyFont="1" applyFill="1" applyBorder="1"/>
    <xf numFmtId="43" fontId="3" fillId="11" borderId="22" xfId="1" applyFont="1" applyFill="1" applyBorder="1"/>
    <xf numFmtId="43" fontId="3" fillId="11" borderId="32" xfId="1" applyFont="1" applyFill="1" applyBorder="1"/>
    <xf numFmtId="10" fontId="3" fillId="11" borderId="23" xfId="1" applyNumberFormat="1" applyFont="1" applyFill="1" applyBorder="1"/>
    <xf numFmtId="10" fontId="3" fillId="11" borderId="5" xfId="3" applyNumberFormat="1" applyFont="1" applyFill="1" applyBorder="1"/>
    <xf numFmtId="10" fontId="3" fillId="11" borderId="32" xfId="3" applyNumberFormat="1" applyFont="1" applyFill="1" applyBorder="1"/>
    <xf numFmtId="43" fontId="3" fillId="11" borderId="18" xfId="1" applyFont="1" applyFill="1" applyBorder="1"/>
    <xf numFmtId="43" fontId="3" fillId="11" borderId="19" xfId="1" applyFont="1" applyFill="1" applyBorder="1"/>
    <xf numFmtId="43" fontId="3" fillId="11" borderId="31" xfId="1" applyFont="1" applyFill="1" applyBorder="1"/>
    <xf numFmtId="43" fontId="3" fillId="11" borderId="33" xfId="1" applyFont="1" applyFill="1" applyBorder="1"/>
    <xf numFmtId="43" fontId="29" fillId="9" borderId="42" xfId="1" applyFont="1" applyFill="1" applyBorder="1"/>
    <xf numFmtId="43" fontId="13" fillId="9" borderId="44" xfId="1" applyFont="1" applyFill="1" applyBorder="1"/>
    <xf numFmtId="10" fontId="13" fillId="9" borderId="45" xfId="1" applyNumberFormat="1" applyFont="1" applyFill="1" applyBorder="1"/>
    <xf numFmtId="43" fontId="13" fillId="9" borderId="42" xfId="1" applyFont="1" applyFill="1" applyBorder="1"/>
    <xf numFmtId="10" fontId="13" fillId="9" borderId="44" xfId="3" applyNumberFormat="1" applyFont="1" applyFill="1" applyBorder="1"/>
    <xf numFmtId="43" fontId="13" fillId="9" borderId="47" xfId="1" applyFont="1" applyFill="1" applyBorder="1"/>
    <xf numFmtId="43" fontId="29" fillId="9" borderId="48" xfId="1" applyFont="1" applyFill="1" applyBorder="1"/>
    <xf numFmtId="10" fontId="13" fillId="9" borderId="44" xfId="1" applyNumberFormat="1" applyFont="1" applyFill="1" applyBorder="1"/>
    <xf numFmtId="43" fontId="13" fillId="9" borderId="48" xfId="1" applyFont="1" applyFill="1" applyBorder="1"/>
    <xf numFmtId="43" fontId="29" fillId="9" borderId="47" xfId="1" applyFont="1" applyFill="1" applyBorder="1"/>
    <xf numFmtId="43" fontId="13" fillId="9" borderId="46" xfId="1" applyFont="1" applyFill="1" applyBorder="1"/>
    <xf numFmtId="43" fontId="13" fillId="9" borderId="40" xfId="1" applyFont="1" applyFill="1" applyBorder="1"/>
    <xf numFmtId="10" fontId="13" fillId="9" borderId="51" xfId="1" applyNumberFormat="1" applyFont="1" applyFill="1" applyBorder="1"/>
    <xf numFmtId="43" fontId="29" fillId="9" borderId="46" xfId="0" applyNumberFormat="1" applyFont="1" applyFill="1" applyBorder="1"/>
    <xf numFmtId="10" fontId="29" fillId="9" borderId="40" xfId="3" applyNumberFormat="1" applyFont="1" applyFill="1" applyBorder="1"/>
    <xf numFmtId="43" fontId="13" fillId="9" borderId="41" xfId="1" applyFont="1" applyFill="1" applyBorder="1"/>
    <xf numFmtId="43" fontId="13" fillId="9" borderId="43" xfId="1" applyFont="1" applyFill="1" applyBorder="1"/>
    <xf numFmtId="164" fontId="30" fillId="0" borderId="30" xfId="1" applyNumberFormat="1" applyFont="1" applyBorder="1"/>
    <xf numFmtId="164" fontId="30" fillId="0" borderId="31" xfId="1" applyNumberFormat="1" applyFont="1" applyBorder="1"/>
    <xf numFmtId="164" fontId="30" fillId="0" borderId="33" xfId="1" applyNumberFormat="1" applyFont="1" applyBorder="1"/>
    <xf numFmtId="10" fontId="32" fillId="0" borderId="0" xfId="3" applyNumberFormat="1" applyFont="1"/>
    <xf numFmtId="10" fontId="28" fillId="0" borderId="0" xfId="3" applyNumberFormat="1" applyFont="1" applyAlignment="1">
      <alignment horizontal="right"/>
    </xf>
    <xf numFmtId="10" fontId="32" fillId="0" borderId="0" xfId="3" applyNumberFormat="1" applyFont="1" applyAlignment="1">
      <alignment horizontal="right"/>
    </xf>
    <xf numFmtId="10" fontId="32" fillId="0" borderId="58" xfId="3" applyNumberFormat="1" applyFont="1" applyBorder="1"/>
    <xf numFmtId="10" fontId="32" fillId="0" borderId="55" xfId="3" applyNumberFormat="1" applyFont="1" applyBorder="1"/>
    <xf numFmtId="10" fontId="32" fillId="0" borderId="64" xfId="3" applyNumberFormat="1" applyFont="1" applyBorder="1"/>
    <xf numFmtId="10" fontId="32" fillId="7" borderId="1" xfId="3" applyNumberFormat="1" applyFont="1" applyFill="1" applyBorder="1"/>
    <xf numFmtId="10" fontId="1" fillId="2" borderId="15" xfId="3" applyNumberFormat="1" applyFont="1" applyFill="1" applyBorder="1"/>
    <xf numFmtId="164" fontId="30" fillId="0" borderId="20" xfId="1" applyNumberFormat="1" applyFont="1" applyBorder="1"/>
    <xf numFmtId="164" fontId="30" fillId="0" borderId="21" xfId="1" applyNumberFormat="1" applyFont="1" applyBorder="1"/>
    <xf numFmtId="164" fontId="30" fillId="0" borderId="23" xfId="1" applyNumberFormat="1" applyFont="1" applyBorder="1"/>
    <xf numFmtId="10" fontId="32" fillId="0" borderId="56" xfId="3" applyNumberFormat="1" applyFont="1" applyBorder="1" applyAlignment="1">
      <alignment horizontal="right"/>
    </xf>
    <xf numFmtId="164" fontId="30" fillId="0" borderId="39" xfId="1" applyNumberFormat="1" applyFont="1" applyBorder="1"/>
    <xf numFmtId="164" fontId="30" fillId="0" borderId="61" xfId="1" applyNumberFormat="1" applyFont="1" applyBorder="1"/>
    <xf numFmtId="164" fontId="30" fillId="0" borderId="27" xfId="1" applyNumberFormat="1" applyFont="1" applyBorder="1"/>
    <xf numFmtId="164" fontId="30" fillId="0" borderId="62" xfId="1" applyNumberFormat="1" applyFont="1" applyBorder="1"/>
    <xf numFmtId="10" fontId="32" fillId="0" borderId="54" xfId="3" applyNumberFormat="1" applyFont="1" applyBorder="1" applyAlignment="1">
      <alignment horizontal="right"/>
    </xf>
    <xf numFmtId="164" fontId="30" fillId="0" borderId="36" xfId="1" applyNumberFormat="1" applyFont="1" applyBorder="1"/>
    <xf numFmtId="164" fontId="30" fillId="0" borderId="49" xfId="1" applyNumberFormat="1" applyFont="1" applyBorder="1"/>
    <xf numFmtId="164" fontId="30" fillId="0" borderId="38" xfId="1" applyNumberFormat="1" applyFont="1" applyBorder="1"/>
    <xf numFmtId="164" fontId="30" fillId="0" borderId="63" xfId="1" applyNumberFormat="1" applyFont="1" applyBorder="1"/>
    <xf numFmtId="10" fontId="32" fillId="0" borderId="1" xfId="3" applyNumberFormat="1" applyFont="1" applyBorder="1" applyAlignment="1">
      <alignment horizontal="right"/>
    </xf>
    <xf numFmtId="164" fontId="30" fillId="0" borderId="45" xfId="1" applyNumberFormat="1" applyFont="1" applyBorder="1"/>
    <xf numFmtId="164" fontId="30" fillId="0" borderId="48" xfId="1" applyNumberFormat="1" applyFont="1" applyBorder="1"/>
    <xf numFmtId="43" fontId="2" fillId="0" borderId="48" xfId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43" fontId="3" fillId="12" borderId="24" xfId="1" applyFont="1" applyFill="1" applyBorder="1"/>
    <xf numFmtId="43" fontId="3" fillId="12" borderId="1" xfId="1" applyFont="1" applyFill="1" applyBorder="1"/>
    <xf numFmtId="43" fontId="2" fillId="10" borderId="24" xfId="1" applyFont="1" applyFill="1" applyBorder="1"/>
    <xf numFmtId="43" fontId="2" fillId="10" borderId="1" xfId="1" applyFont="1" applyFill="1" applyBorder="1"/>
    <xf numFmtId="43" fontId="3" fillId="0" borderId="0" xfId="0" applyNumberFormat="1" applyFont="1"/>
    <xf numFmtId="164" fontId="2" fillId="0" borderId="37" xfId="1" applyNumberFormat="1" applyFont="1" applyBorder="1" applyAlignment="1">
      <alignment horizontal="center"/>
    </xf>
    <xf numFmtId="0" fontId="13" fillId="13" borderId="1" xfId="0" applyFont="1" applyFill="1" applyBorder="1" applyAlignment="1">
      <alignment horizontal="center"/>
    </xf>
    <xf numFmtId="10" fontId="0" fillId="0" borderId="9" xfId="0" applyNumberFormat="1" applyBorder="1"/>
    <xf numFmtId="0" fontId="3" fillId="11" borderId="18" xfId="1" applyNumberFormat="1" applyFont="1" applyFill="1" applyBorder="1"/>
    <xf numFmtId="0" fontId="13" fillId="9" borderId="41" xfId="1" applyNumberFormat="1" applyFont="1" applyFill="1" applyBorder="1"/>
    <xf numFmtId="43" fontId="29" fillId="11" borderId="38" xfId="1" applyFont="1" applyFill="1" applyBorder="1"/>
    <xf numFmtId="43" fontId="7" fillId="2" borderId="46" xfId="1" applyFill="1" applyBorder="1"/>
    <xf numFmtId="164" fontId="7" fillId="2" borderId="41" xfId="1" applyNumberFormat="1" applyFill="1" applyBorder="1"/>
    <xf numFmtId="43" fontId="2" fillId="0" borderId="47" xfId="1" applyFont="1" applyBorder="1" applyAlignment="1">
      <alignment horizontal="center"/>
    </xf>
    <xf numFmtId="10" fontId="3" fillId="11" borderId="18" xfId="1" applyNumberFormat="1" applyFont="1" applyFill="1" applyBorder="1"/>
    <xf numFmtId="10" fontId="3" fillId="11" borderId="19" xfId="1" applyNumberFormat="1" applyFont="1" applyFill="1" applyBorder="1"/>
    <xf numFmtId="10" fontId="13" fillId="9" borderId="47" xfId="1" applyNumberFormat="1" applyFont="1" applyFill="1" applyBorder="1"/>
    <xf numFmtId="10" fontId="13" fillId="9" borderId="41" xfId="1" applyNumberFormat="1" applyFont="1" applyFill="1" applyBorder="1"/>
    <xf numFmtId="43" fontId="2" fillId="0" borderId="42" xfId="1" applyFont="1" applyBorder="1" applyAlignment="1">
      <alignment horizontal="center"/>
    </xf>
    <xf numFmtId="43" fontId="1" fillId="7" borderId="16" xfId="1" applyFont="1" applyFill="1" applyBorder="1"/>
    <xf numFmtId="164" fontId="1" fillId="7" borderId="16" xfId="1" applyNumberFormat="1" applyFont="1" applyFill="1" applyBorder="1"/>
    <xf numFmtId="43" fontId="3" fillId="7" borderId="17" xfId="1" applyFont="1" applyFill="1" applyBorder="1"/>
    <xf numFmtId="10" fontId="3" fillId="7" borderId="20" xfId="1" applyNumberFormat="1" applyFont="1" applyFill="1" applyBorder="1" applyAlignment="1">
      <alignment horizontal="right"/>
    </xf>
    <xf numFmtId="43" fontId="3" fillId="7" borderId="14" xfId="1" applyFont="1" applyFill="1" applyBorder="1" applyAlignment="1">
      <alignment horizontal="center"/>
    </xf>
    <xf numFmtId="10" fontId="3" fillId="7" borderId="15" xfId="3" applyNumberFormat="1" applyFont="1" applyFill="1" applyBorder="1" applyAlignment="1">
      <alignment horizontal="right" wrapText="1"/>
    </xf>
    <xf numFmtId="43" fontId="3" fillId="7" borderId="30" xfId="1" applyFont="1" applyFill="1" applyBorder="1" applyAlignment="1">
      <alignment horizontal="center"/>
    </xf>
    <xf numFmtId="0" fontId="3" fillId="7" borderId="17" xfId="1" applyNumberFormat="1" applyFont="1" applyFill="1" applyBorder="1"/>
    <xf numFmtId="10" fontId="6" fillId="7" borderId="49" xfId="1" applyNumberFormat="1" applyFont="1" applyFill="1" applyBorder="1"/>
    <xf numFmtId="43" fontId="6" fillId="7" borderId="36" xfId="1" applyFont="1" applyFill="1" applyBorder="1"/>
    <xf numFmtId="10" fontId="4" fillId="7" borderId="37" xfId="3" applyNumberFormat="1" applyFont="1" applyFill="1" applyBorder="1"/>
    <xf numFmtId="43" fontId="3" fillId="7" borderId="63" xfId="1" applyFont="1" applyFill="1" applyBorder="1"/>
    <xf numFmtId="10" fontId="3" fillId="7" borderId="16" xfId="1" applyNumberFormat="1" applyFont="1" applyFill="1" applyBorder="1" applyAlignment="1">
      <alignment horizontal="right"/>
    </xf>
    <xf numFmtId="43" fontId="3" fillId="7" borderId="36" xfId="1" applyFont="1" applyFill="1" applyBorder="1"/>
    <xf numFmtId="10" fontId="6" fillId="7" borderId="38" xfId="1" applyNumberFormat="1" applyFont="1" applyFill="1" applyBorder="1"/>
    <xf numFmtId="14" fontId="0" fillId="0" borderId="0" xfId="0" applyNumberFormat="1" applyAlignment="1">
      <alignment wrapText="1"/>
    </xf>
    <xf numFmtId="0" fontId="21" fillId="0" borderId="0" xfId="0" applyFont="1"/>
    <xf numFmtId="164" fontId="22" fillId="0" borderId="0" xfId="1" applyNumberFormat="1" applyFont="1" applyAlignment="1">
      <alignment horizontal="center"/>
    </xf>
    <xf numFmtId="0" fontId="5" fillId="0" borderId="0" xfId="0" applyFont="1" applyAlignment="1">
      <alignment horizontal="right"/>
    </xf>
    <xf numFmtId="164" fontId="22" fillId="0" borderId="0" xfId="1" applyNumberFormat="1" applyFont="1"/>
    <xf numFmtId="43" fontId="23" fillId="0" borderId="0" xfId="1" applyFont="1"/>
    <xf numFmtId="43" fontId="22" fillId="0" borderId="0" xfId="1" applyFont="1"/>
    <xf numFmtId="10" fontId="31" fillId="11" borderId="46" xfId="6" applyNumberFormat="1" applyFont="1" applyFill="1" applyBorder="1"/>
    <xf numFmtId="168" fontId="30" fillId="0" borderId="0" xfId="5" applyNumberFormat="1" applyFont="1"/>
    <xf numFmtId="44" fontId="0" fillId="0" borderId="0" xfId="0" applyNumberFormat="1"/>
    <xf numFmtId="168" fontId="0" fillId="0" borderId="0" xfId="2" applyNumberFormat="1" applyFont="1"/>
    <xf numFmtId="44" fontId="31" fillId="0" borderId="0" xfId="2" applyFont="1"/>
    <xf numFmtId="0" fontId="31" fillId="0" borderId="0" xfId="0" applyFont="1"/>
    <xf numFmtId="0" fontId="31" fillId="0" borderId="16" xfId="0" applyFont="1" applyBorder="1" applyAlignment="1">
      <alignment horizontal="center"/>
    </xf>
    <xf numFmtId="0" fontId="31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164" fontId="30" fillId="11" borderId="18" xfId="8" applyNumberFormat="1" applyFont="1" applyFill="1" applyBorder="1"/>
    <xf numFmtId="10" fontId="30" fillId="0" borderId="8" xfId="7" applyNumberFormat="1" applyFont="1" applyBorder="1"/>
    <xf numFmtId="10" fontId="31" fillId="0" borderId="14" xfId="7" applyNumberFormat="1" applyFont="1" applyBorder="1" applyAlignment="1">
      <alignment horizontal="right"/>
    </xf>
    <xf numFmtId="10" fontId="31" fillId="11" borderId="22" xfId="7" applyNumberFormat="1" applyFont="1" applyFill="1" applyBorder="1"/>
    <xf numFmtId="10" fontId="30" fillId="11" borderId="17" xfId="7" applyNumberFormat="1" applyFont="1" applyFill="1" applyBorder="1"/>
    <xf numFmtId="10" fontId="30" fillId="11" borderId="14" xfId="7" applyNumberFormat="1" applyFont="1" applyFill="1" applyBorder="1"/>
    <xf numFmtId="10" fontId="30" fillId="0" borderId="17" xfId="7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164" fontId="34" fillId="11" borderId="19" xfId="8" applyNumberFormat="1" applyFont="1" applyFill="1" applyBorder="1"/>
    <xf numFmtId="164" fontId="31" fillId="11" borderId="41" xfId="0" applyNumberFormat="1" applyFont="1" applyFill="1" applyBorder="1"/>
    <xf numFmtId="164" fontId="36" fillId="11" borderId="18" xfId="8" applyNumberFormat="1" applyFont="1" applyFill="1" applyBorder="1"/>
    <xf numFmtId="164" fontId="36" fillId="11" borderId="16" xfId="8" applyNumberFormat="1" applyFont="1" applyFill="1" applyBorder="1"/>
    <xf numFmtId="10" fontId="36" fillId="11" borderId="17" xfId="7" applyNumberFormat="1" applyFont="1" applyFill="1" applyBorder="1"/>
    <xf numFmtId="164" fontId="34" fillId="11" borderId="18" xfId="8" applyNumberFormat="1" applyFont="1" applyFill="1" applyBorder="1"/>
    <xf numFmtId="0" fontId="31" fillId="0" borderId="0" xfId="0" applyFont="1" applyAlignment="1">
      <alignment horizontal="center"/>
    </xf>
    <xf numFmtId="10" fontId="31" fillId="0" borderId="0" xfId="7" applyNumberFormat="1" applyFont="1" applyAlignment="1">
      <alignment horizontal="center"/>
    </xf>
    <xf numFmtId="164" fontId="30" fillId="0" borderId="0" xfId="8" applyNumberFormat="1" applyFont="1" applyAlignment="1">
      <alignment horizontal="right"/>
    </xf>
    <xf numFmtId="10" fontId="30" fillId="0" borderId="0" xfId="7" applyNumberFormat="1" applyFont="1"/>
    <xf numFmtId="164" fontId="0" fillId="0" borderId="0" xfId="0" applyNumberFormat="1"/>
    <xf numFmtId="164" fontId="31" fillId="0" borderId="0" xfId="8" applyNumberFormat="1" applyFont="1"/>
    <xf numFmtId="10" fontId="31" fillId="0" borderId="0" xfId="7" applyNumberFormat="1" applyFont="1"/>
    <xf numFmtId="164" fontId="31" fillId="0" borderId="0" xfId="0" applyNumberFormat="1" applyFont="1"/>
    <xf numFmtId="164" fontId="30" fillId="0" borderId="0" xfId="8" applyNumberFormat="1" applyFont="1"/>
    <xf numFmtId="10" fontId="30" fillId="0" borderId="0" xfId="7" applyNumberFormat="1" applyFont="1" applyAlignment="1">
      <alignment horizontal="right"/>
    </xf>
    <xf numFmtId="164" fontId="34" fillId="0" borderId="0" xfId="8" applyNumberFormat="1" applyFont="1"/>
    <xf numFmtId="10" fontId="30" fillId="0" borderId="0" xfId="7" applyNumberFormat="1" applyFont="1" applyAlignment="1">
      <alignment horizontal="center"/>
    </xf>
    <xf numFmtId="10" fontId="31" fillId="0" borderId="0" xfId="7" applyNumberFormat="1" applyFont="1" applyAlignment="1">
      <alignment horizontal="right"/>
    </xf>
    <xf numFmtId="10" fontId="0" fillId="0" borderId="0" xfId="7" applyNumberFormat="1" applyFont="1"/>
    <xf numFmtId="10" fontId="36" fillId="11" borderId="22" xfId="7" applyNumberFormat="1" applyFont="1" applyFill="1" applyBorder="1"/>
    <xf numFmtId="164" fontId="0" fillId="11" borderId="19" xfId="0" applyNumberFormat="1" applyFill="1" applyBorder="1"/>
    <xf numFmtId="10" fontId="31" fillId="11" borderId="46" xfId="7" applyNumberFormat="1" applyFont="1" applyFill="1" applyBorder="1"/>
    <xf numFmtId="168" fontId="30" fillId="0" borderId="0" xfId="10" applyNumberFormat="1" applyFont="1"/>
    <xf numFmtId="164" fontId="36" fillId="11" borderId="19" xfId="8" applyNumberFormat="1" applyFont="1" applyFill="1" applyBorder="1"/>
    <xf numFmtId="43" fontId="31" fillId="11" borderId="19" xfId="0" applyNumberFormat="1" applyFont="1" applyFill="1" applyBorder="1"/>
    <xf numFmtId="164" fontId="36" fillId="11" borderId="29" xfId="8" applyNumberFormat="1" applyFont="1" applyFill="1" applyBorder="1"/>
    <xf numFmtId="164" fontId="0" fillId="2" borderId="46" xfId="0" applyNumberFormat="1" applyFill="1" applyBorder="1"/>
    <xf numFmtId="10" fontId="7" fillId="2" borderId="51" xfId="3" applyNumberFormat="1" applyFill="1" applyBorder="1"/>
    <xf numFmtId="164" fontId="7" fillId="2" borderId="46" xfId="1" applyNumberFormat="1" applyFill="1" applyBorder="1"/>
    <xf numFmtId="10" fontId="7" fillId="2" borderId="41" xfId="3" applyNumberFormat="1" applyFill="1" applyBorder="1"/>
    <xf numFmtId="164" fontId="30" fillId="18" borderId="31" xfId="8" applyNumberFormat="1" applyFont="1" applyFill="1" applyBorder="1"/>
    <xf numFmtId="10" fontId="7" fillId="2" borderId="29" xfId="3" applyNumberFormat="1" applyFill="1" applyBorder="1"/>
    <xf numFmtId="10" fontId="30" fillId="11" borderId="28" xfId="7" applyNumberFormat="1" applyFont="1" applyFill="1" applyBorder="1"/>
    <xf numFmtId="10" fontId="30" fillId="11" borderId="40" xfId="7" applyNumberFormat="1" applyFont="1" applyFill="1" applyBorder="1"/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10" fontId="31" fillId="0" borderId="6" xfId="7" applyNumberFormat="1" applyFont="1" applyBorder="1" applyAlignment="1">
      <alignment horizontal="right"/>
    </xf>
    <xf numFmtId="0" fontId="31" fillId="0" borderId="6" xfId="0" applyFont="1" applyBorder="1"/>
    <xf numFmtId="10" fontId="30" fillId="0" borderId="8" xfId="7" applyNumberFormat="1" applyFont="1" applyBorder="1" applyAlignment="1">
      <alignment horizontal="right"/>
    </xf>
    <xf numFmtId="164" fontId="30" fillId="11" borderId="5" xfId="8" applyNumberFormat="1" applyFont="1" applyFill="1" applyBorder="1"/>
    <xf numFmtId="164" fontId="0" fillId="11" borderId="18" xfId="0" applyNumberFormat="1" applyFill="1" applyBorder="1"/>
    <xf numFmtId="10" fontId="31" fillId="0" borderId="8" xfId="7" applyNumberFormat="1" applyFont="1" applyBorder="1"/>
    <xf numFmtId="0" fontId="31" fillId="0" borderId="8" xfId="0" applyFont="1" applyBorder="1"/>
    <xf numFmtId="10" fontId="31" fillId="0" borderId="15" xfId="7" applyNumberFormat="1" applyFont="1" applyBorder="1" applyAlignment="1">
      <alignment horizontal="center"/>
    </xf>
    <xf numFmtId="10" fontId="30" fillId="11" borderId="17" xfId="7" applyNumberFormat="1" applyFont="1" applyFill="1" applyBorder="1" applyAlignment="1">
      <alignment horizontal="right"/>
    </xf>
    <xf numFmtId="164" fontId="30" fillId="11" borderId="17" xfId="8" applyNumberFormat="1" applyFont="1" applyFill="1" applyBorder="1"/>
    <xf numFmtId="10" fontId="30" fillId="11" borderId="5" xfId="7" applyNumberFormat="1" applyFont="1" applyFill="1" applyBorder="1"/>
    <xf numFmtId="10" fontId="31" fillId="11" borderId="32" xfId="7" applyNumberFormat="1" applyFont="1" applyFill="1" applyBorder="1"/>
    <xf numFmtId="164" fontId="31" fillId="11" borderId="19" xfId="0" applyNumberFormat="1" applyFont="1" applyFill="1" applyBorder="1"/>
    <xf numFmtId="43" fontId="31" fillId="0" borderId="0" xfId="0" applyNumberFormat="1" applyFont="1"/>
    <xf numFmtId="164" fontId="30" fillId="0" borderId="8" xfId="8" applyNumberFormat="1" applyFont="1" applyBorder="1"/>
    <xf numFmtId="10" fontId="30" fillId="11" borderId="15" xfId="7" applyNumberFormat="1" applyFont="1" applyFill="1" applyBorder="1"/>
    <xf numFmtId="43" fontId="30" fillId="0" borderId="0" xfId="8" applyFont="1"/>
    <xf numFmtId="167" fontId="0" fillId="0" borderId="0" xfId="0" applyNumberFormat="1"/>
    <xf numFmtId="164" fontId="31" fillId="11" borderId="22" xfId="0" applyNumberFormat="1" applyFont="1" applyFill="1" applyBorder="1"/>
    <xf numFmtId="0" fontId="0" fillId="0" borderId="17" xfId="0" applyBorder="1" applyAlignment="1">
      <alignment horizontal="center"/>
    </xf>
    <xf numFmtId="10" fontId="30" fillId="0" borderId="5" xfId="7" applyNumberFormat="1" applyFont="1" applyBorder="1" applyAlignment="1">
      <alignment horizontal="center"/>
    </xf>
    <xf numFmtId="0" fontId="35" fillId="0" borderId="0" xfId="0" applyFont="1"/>
    <xf numFmtId="164" fontId="31" fillId="11" borderId="41" xfId="8" applyNumberFormat="1" applyFont="1" applyFill="1" applyBorder="1"/>
    <xf numFmtId="10" fontId="30" fillId="11" borderId="22" xfId="7" applyNumberFormat="1" applyFont="1" applyFill="1" applyBorder="1"/>
    <xf numFmtId="10" fontId="30" fillId="11" borderId="22" xfId="7" applyNumberFormat="1" applyFont="1" applyFill="1" applyBorder="1" applyAlignment="1">
      <alignment horizontal="right"/>
    </xf>
    <xf numFmtId="164" fontId="30" fillId="13" borderId="17" xfId="8" applyNumberFormat="1" applyFont="1" applyFill="1" applyBorder="1" applyAlignment="1">
      <alignment horizontal="right"/>
    </xf>
    <xf numFmtId="164" fontId="30" fillId="15" borderId="18" xfId="8" applyNumberFormat="1" applyFont="1" applyFill="1" applyBorder="1"/>
    <xf numFmtId="164" fontId="30" fillId="15" borderId="17" xfId="8" applyNumberFormat="1" applyFont="1" applyFill="1" applyBorder="1"/>
    <xf numFmtId="164" fontId="30" fillId="16" borderId="17" xfId="8" applyNumberFormat="1" applyFont="1" applyFill="1" applyBorder="1"/>
    <xf numFmtId="164" fontId="30" fillId="15" borderId="16" xfId="8" applyNumberFormat="1" applyFont="1" applyFill="1" applyBorder="1"/>
    <xf numFmtId="164" fontId="34" fillId="15" borderId="14" xfId="8" applyNumberFormat="1" applyFont="1" applyFill="1" applyBorder="1"/>
    <xf numFmtId="0" fontId="0" fillId="15" borderId="5" xfId="0" applyFill="1" applyBorder="1"/>
    <xf numFmtId="0" fontId="0" fillId="13" borderId="5" xfId="0" applyFill="1" applyBorder="1"/>
    <xf numFmtId="0" fontId="0" fillId="16" borderId="5" xfId="0" applyFill="1" applyBorder="1"/>
    <xf numFmtId="0" fontId="0" fillId="17" borderId="5" xfId="0" applyFill="1" applyBorder="1"/>
    <xf numFmtId="0" fontId="0" fillId="12" borderId="5" xfId="0" applyFill="1" applyBorder="1"/>
    <xf numFmtId="164" fontId="30" fillId="18" borderId="17" xfId="8" applyNumberFormat="1" applyFont="1" applyFill="1" applyBorder="1"/>
    <xf numFmtId="164" fontId="34" fillId="18" borderId="17" xfId="8" applyNumberFormat="1" applyFont="1" applyFill="1" applyBorder="1"/>
    <xf numFmtId="164" fontId="30" fillId="11" borderId="19" xfId="8" applyNumberFormat="1" applyFont="1" applyFill="1" applyBorder="1"/>
    <xf numFmtId="164" fontId="30" fillId="15" borderId="19" xfId="8" applyNumberFormat="1" applyFont="1" applyFill="1" applyBorder="1"/>
    <xf numFmtId="10" fontId="0" fillId="0" borderId="0" xfId="0" applyNumberFormat="1"/>
    <xf numFmtId="164" fontId="31" fillId="11" borderId="46" xfId="8" applyNumberFormat="1" applyFont="1" applyFill="1" applyBorder="1"/>
    <xf numFmtId="10" fontId="31" fillId="11" borderId="40" xfId="7" applyNumberFormat="1" applyFont="1" applyFill="1" applyBorder="1"/>
    <xf numFmtId="164" fontId="30" fillId="11" borderId="22" xfId="8" applyNumberFormat="1" applyFont="1" applyFill="1" applyBorder="1"/>
    <xf numFmtId="10" fontId="30" fillId="11" borderId="32" xfId="7" applyNumberFormat="1" applyFont="1" applyFill="1" applyBorder="1"/>
    <xf numFmtId="164" fontId="30" fillId="13" borderId="22" xfId="8" applyNumberFormat="1" applyFont="1" applyFill="1" applyBorder="1" applyAlignment="1">
      <alignment horizontal="right"/>
    </xf>
    <xf numFmtId="164" fontId="30" fillId="15" borderId="22" xfId="8" applyNumberFormat="1" applyFont="1" applyFill="1" applyBorder="1"/>
    <xf numFmtId="164" fontId="31" fillId="11" borderId="46" xfId="0" applyNumberFormat="1" applyFont="1" applyFill="1" applyBorder="1"/>
    <xf numFmtId="164" fontId="0" fillId="16" borderId="22" xfId="0" applyNumberFormat="1" applyFill="1" applyBorder="1"/>
    <xf numFmtId="164" fontId="34" fillId="15" borderId="22" xfId="8" applyNumberFormat="1" applyFont="1" applyFill="1" applyBorder="1"/>
    <xf numFmtId="164" fontId="30" fillId="11" borderId="21" xfId="8" applyNumberFormat="1" applyFont="1" applyFill="1" applyBorder="1"/>
    <xf numFmtId="164" fontId="31" fillId="11" borderId="38" xfId="8" applyNumberFormat="1" applyFont="1" applyFill="1" applyBorder="1"/>
    <xf numFmtId="164" fontId="31" fillId="11" borderId="37" xfId="8" applyNumberFormat="1" applyFont="1" applyFill="1" applyBorder="1"/>
    <xf numFmtId="164" fontId="31" fillId="11" borderId="38" xfId="0" applyNumberFormat="1" applyFont="1" applyFill="1" applyBorder="1"/>
    <xf numFmtId="164" fontId="30" fillId="11" borderId="32" xfId="8" applyNumberFormat="1" applyFont="1" applyFill="1" applyBorder="1"/>
    <xf numFmtId="164" fontId="30" fillId="11" borderId="29" xfId="8" applyNumberFormat="1" applyFont="1" applyFill="1" applyBorder="1"/>
    <xf numFmtId="164" fontId="30" fillId="18" borderId="30" xfId="8" applyNumberFormat="1" applyFont="1" applyFill="1" applyBorder="1"/>
    <xf numFmtId="164" fontId="30" fillId="15" borderId="33" xfId="8" applyNumberFormat="1" applyFont="1" applyFill="1" applyBorder="1"/>
    <xf numFmtId="164" fontId="31" fillId="11" borderId="43" xfId="8" applyNumberFormat="1" applyFont="1" applyFill="1" applyBorder="1"/>
    <xf numFmtId="10" fontId="30" fillId="11" borderId="60" xfId="7" applyNumberFormat="1" applyFont="1" applyFill="1" applyBorder="1"/>
    <xf numFmtId="164" fontId="0" fillId="11" borderId="29" xfId="0" applyNumberFormat="1" applyFill="1" applyBorder="1"/>
    <xf numFmtId="164" fontId="30" fillId="11" borderId="71" xfId="8" applyNumberFormat="1" applyFont="1" applyFill="1" applyBorder="1"/>
    <xf numFmtId="164" fontId="30" fillId="11" borderId="23" xfId="8" applyNumberFormat="1" applyFont="1" applyFill="1" applyBorder="1"/>
    <xf numFmtId="164" fontId="31" fillId="11" borderId="51" xfId="8" applyNumberFormat="1" applyFont="1" applyFill="1" applyBorder="1"/>
    <xf numFmtId="164" fontId="30" fillId="18" borderId="28" xfId="8" applyNumberFormat="1" applyFont="1" applyFill="1" applyBorder="1"/>
    <xf numFmtId="164" fontId="30" fillId="18" borderId="36" xfId="8" applyNumberFormat="1" applyFont="1" applyFill="1" applyBorder="1"/>
    <xf numFmtId="164" fontId="0" fillId="0" borderId="0" xfId="11" applyNumberFormat="1" applyFont="1"/>
    <xf numFmtId="164" fontId="0" fillId="0" borderId="0" xfId="11" applyNumberFormat="1" applyFont="1" applyAlignment="1">
      <alignment horizontal="right"/>
    </xf>
    <xf numFmtId="164" fontId="0" fillId="0" borderId="5" xfId="11" applyNumberFormat="1" applyFont="1" applyBorder="1" applyAlignment="1">
      <alignment horizontal="center"/>
    </xf>
    <xf numFmtId="164" fontId="0" fillId="0" borderId="37" xfId="11" applyNumberFormat="1" applyFont="1" applyBorder="1" applyAlignment="1">
      <alignment horizontal="center"/>
    </xf>
    <xf numFmtId="164" fontId="0" fillId="0" borderId="5" xfId="11" applyNumberFormat="1" applyFont="1" applyBorder="1"/>
    <xf numFmtId="169" fontId="0" fillId="0" borderId="0" xfId="11" applyNumberFormat="1" applyFont="1"/>
    <xf numFmtId="169" fontId="0" fillId="0" borderId="0" xfId="11" applyNumberFormat="1" applyFont="1" applyAlignment="1">
      <alignment horizontal="right"/>
    </xf>
    <xf numFmtId="169" fontId="0" fillId="0" borderId="5" xfId="11" applyNumberFormat="1" applyFont="1" applyBorder="1" applyAlignment="1">
      <alignment horizontal="center"/>
    </xf>
    <xf numFmtId="164" fontId="0" fillId="14" borderId="5" xfId="11" applyNumberFormat="1" applyFont="1" applyFill="1" applyBorder="1"/>
    <xf numFmtId="164" fontId="0" fillId="19" borderId="5" xfId="11" applyNumberFormat="1" applyFont="1" applyFill="1" applyBorder="1"/>
    <xf numFmtId="164" fontId="0" fillId="14" borderId="21" xfId="11" applyNumberFormat="1" applyFont="1" applyFill="1" applyBorder="1" applyAlignment="1">
      <alignment horizontal="right"/>
    </xf>
    <xf numFmtId="164" fontId="32" fillId="14" borderId="21" xfId="11" applyNumberFormat="1" applyFont="1" applyFill="1" applyBorder="1" applyAlignment="1">
      <alignment horizontal="right"/>
    </xf>
    <xf numFmtId="164" fontId="32" fillId="19" borderId="21" xfId="11" applyNumberFormat="1" applyFont="1" applyFill="1" applyBorder="1" applyAlignment="1">
      <alignment horizontal="right"/>
    </xf>
    <xf numFmtId="164" fontId="0" fillId="0" borderId="17" xfId="11" applyNumberFormat="1" applyFont="1" applyBorder="1" applyAlignment="1">
      <alignment horizontal="center"/>
    </xf>
    <xf numFmtId="164" fontId="0" fillId="0" borderId="9" xfId="11" applyNumberFormat="1" applyFont="1" applyBorder="1"/>
    <xf numFmtId="169" fontId="0" fillId="0" borderId="17" xfId="11" applyNumberFormat="1" applyFont="1" applyBorder="1" applyAlignment="1">
      <alignment horizontal="center"/>
    </xf>
    <xf numFmtId="169" fontId="0" fillId="0" borderId="18" xfId="11" applyNumberFormat="1" applyFont="1" applyBorder="1" applyAlignment="1">
      <alignment horizontal="center"/>
    </xf>
    <xf numFmtId="164" fontId="0" fillId="14" borderId="17" xfId="11" applyNumberFormat="1" applyFont="1" applyFill="1" applyBorder="1"/>
    <xf numFmtId="164" fontId="0" fillId="0" borderId="8" xfId="11" applyNumberFormat="1" applyFont="1" applyBorder="1"/>
    <xf numFmtId="164" fontId="0" fillId="19" borderId="17" xfId="11" applyNumberFormat="1" applyFont="1" applyFill="1" applyBorder="1"/>
    <xf numFmtId="164" fontId="0" fillId="19" borderId="22" xfId="11" applyNumberFormat="1" applyFont="1" applyFill="1" applyBorder="1"/>
    <xf numFmtId="164" fontId="0" fillId="19" borderId="32" xfId="11" applyNumberFormat="1" applyFont="1" applyFill="1" applyBorder="1"/>
    <xf numFmtId="164" fontId="0" fillId="0" borderId="16" xfId="11" applyNumberFormat="1" applyFont="1" applyBorder="1" applyAlignment="1">
      <alignment horizontal="center"/>
    </xf>
    <xf numFmtId="164" fontId="0" fillId="0" borderId="36" xfId="11" applyNumberFormat="1" applyFont="1" applyBorder="1" applyAlignment="1">
      <alignment horizontal="center"/>
    </xf>
    <xf numFmtId="164" fontId="0" fillId="0" borderId="18" xfId="11" applyNumberFormat="1" applyFont="1" applyBorder="1" applyAlignment="1">
      <alignment horizontal="center"/>
    </xf>
    <xf numFmtId="164" fontId="0" fillId="0" borderId="39" xfId="11" applyNumberFormat="1" applyFont="1" applyBorder="1"/>
    <xf numFmtId="164" fontId="0" fillId="0" borderId="35" xfId="11" applyNumberFormat="1" applyFont="1" applyBorder="1"/>
    <xf numFmtId="164" fontId="0" fillId="14" borderId="20" xfId="11" applyNumberFormat="1" applyFont="1" applyFill="1" applyBorder="1" applyAlignment="1">
      <alignment horizontal="right"/>
    </xf>
    <xf numFmtId="164" fontId="0" fillId="14" borderId="14" xfId="11" applyNumberFormat="1" applyFont="1" applyFill="1" applyBorder="1"/>
    <xf numFmtId="164" fontId="0" fillId="14" borderId="15" xfId="11" applyNumberFormat="1" applyFont="1" applyFill="1" applyBorder="1"/>
    <xf numFmtId="164" fontId="0" fillId="14" borderId="23" xfId="11" applyNumberFormat="1" applyFont="1" applyFill="1" applyBorder="1" applyAlignment="1">
      <alignment horizontal="right"/>
    </xf>
    <xf numFmtId="164" fontId="0" fillId="14" borderId="22" xfId="11" applyNumberFormat="1" applyFont="1" applyFill="1" applyBorder="1"/>
    <xf numFmtId="164" fontId="0" fillId="14" borderId="32" xfId="11" applyNumberFormat="1" applyFont="1" applyFill="1" applyBorder="1"/>
    <xf numFmtId="164" fontId="32" fillId="14" borderId="20" xfId="11" applyNumberFormat="1" applyFont="1" applyFill="1" applyBorder="1" applyAlignment="1">
      <alignment horizontal="right"/>
    </xf>
    <xf numFmtId="164" fontId="32" fillId="14" borderId="23" xfId="11" applyNumberFormat="1" applyFont="1" applyFill="1" applyBorder="1" applyAlignment="1">
      <alignment horizontal="right"/>
    </xf>
    <xf numFmtId="164" fontId="0" fillId="0" borderId="4" xfId="11" applyNumberFormat="1" applyFont="1" applyBorder="1"/>
    <xf numFmtId="164" fontId="0" fillId="0" borderId="3" xfId="11" applyNumberFormat="1" applyFont="1" applyBorder="1"/>
    <xf numFmtId="164" fontId="32" fillId="19" borderId="20" xfId="11" applyNumberFormat="1" applyFont="1" applyFill="1" applyBorder="1" applyAlignment="1">
      <alignment horizontal="right"/>
    </xf>
    <xf numFmtId="164" fontId="0" fillId="19" borderId="14" xfId="11" applyNumberFormat="1" applyFont="1" applyFill="1" applyBorder="1"/>
    <xf numFmtId="164" fontId="0" fillId="19" borderId="15" xfId="11" applyNumberFormat="1" applyFont="1" applyFill="1" applyBorder="1"/>
    <xf numFmtId="164" fontId="32" fillId="19" borderId="23" xfId="11" applyNumberFormat="1" applyFont="1" applyFill="1" applyBorder="1" applyAlignment="1">
      <alignment horizontal="right"/>
    </xf>
    <xf numFmtId="164" fontId="32" fillId="14" borderId="49" xfId="11" applyNumberFormat="1" applyFont="1" applyFill="1" applyBorder="1" applyAlignment="1">
      <alignment horizontal="right"/>
    </xf>
    <xf numFmtId="164" fontId="0" fillId="14" borderId="36" xfId="11" applyNumberFormat="1" applyFont="1" applyFill="1" applyBorder="1"/>
    <xf numFmtId="164" fontId="0" fillId="14" borderId="37" xfId="11" applyNumberFormat="1" applyFont="1" applyFill="1" applyBorder="1"/>
    <xf numFmtId="164" fontId="0" fillId="17" borderId="27" xfId="11" applyNumberFormat="1" applyFont="1" applyFill="1" applyBorder="1"/>
    <xf numFmtId="164" fontId="0" fillId="17" borderId="16" xfId="11" applyNumberFormat="1" applyFont="1" applyFill="1" applyBorder="1"/>
    <xf numFmtId="164" fontId="0" fillId="17" borderId="18" xfId="11" applyNumberFormat="1" applyFont="1" applyFill="1" applyBorder="1"/>
    <xf numFmtId="164" fontId="0" fillId="17" borderId="19" xfId="11" applyNumberFormat="1" applyFont="1" applyFill="1" applyBorder="1"/>
    <xf numFmtId="164" fontId="0" fillId="17" borderId="22" xfId="11" applyNumberFormat="1" applyFont="1" applyFill="1" applyBorder="1"/>
    <xf numFmtId="164" fontId="0" fillId="17" borderId="32" xfId="11" applyNumberFormat="1" applyFont="1" applyFill="1" applyBorder="1"/>
    <xf numFmtId="164" fontId="0" fillId="17" borderId="35" xfId="11" applyNumberFormat="1" applyFont="1" applyFill="1" applyBorder="1"/>
    <xf numFmtId="164" fontId="0" fillId="17" borderId="5" xfId="11" applyNumberFormat="1" applyFont="1" applyFill="1" applyBorder="1"/>
    <xf numFmtId="164" fontId="0" fillId="17" borderId="38" xfId="11" applyNumberFormat="1" applyFont="1" applyFill="1" applyBorder="1"/>
    <xf numFmtId="164" fontId="0" fillId="17" borderId="64" xfId="11" applyNumberFormat="1" applyFont="1" applyFill="1" applyBorder="1"/>
    <xf numFmtId="164" fontId="0" fillId="14" borderId="39" xfId="11" applyNumberFormat="1" applyFont="1" applyFill="1" applyBorder="1"/>
    <xf numFmtId="164" fontId="0" fillId="14" borderId="35" xfId="11" applyNumberFormat="1" applyFont="1" applyFill="1" applyBorder="1"/>
    <xf numFmtId="164" fontId="0" fillId="17" borderId="4" xfId="11" applyNumberFormat="1" applyFont="1" applyFill="1" applyBorder="1"/>
    <xf numFmtId="164" fontId="0" fillId="17" borderId="42" xfId="11" applyNumberFormat="1" applyFont="1" applyFill="1" applyBorder="1"/>
    <xf numFmtId="164" fontId="0" fillId="17" borderId="1" xfId="11" applyNumberFormat="1" applyFont="1" applyFill="1" applyBorder="1"/>
    <xf numFmtId="164" fontId="0" fillId="17" borderId="44" xfId="11" applyNumberFormat="1" applyFont="1" applyFill="1" applyBorder="1"/>
    <xf numFmtId="164" fontId="0" fillId="17" borderId="47" xfId="11" applyNumberFormat="1" applyFont="1" applyFill="1" applyBorder="1"/>
    <xf numFmtId="164" fontId="0" fillId="17" borderId="40" xfId="11" applyNumberFormat="1" applyFont="1" applyFill="1" applyBorder="1"/>
    <xf numFmtId="164" fontId="0" fillId="14" borderId="30" xfId="11" applyNumberFormat="1" applyFont="1" applyFill="1" applyBorder="1"/>
    <xf numFmtId="164" fontId="0" fillId="14" borderId="31" xfId="11" applyNumberFormat="1" applyFont="1" applyFill="1" applyBorder="1"/>
    <xf numFmtId="164" fontId="0" fillId="14" borderId="33" xfId="11" applyNumberFormat="1" applyFont="1" applyFill="1" applyBorder="1"/>
    <xf numFmtId="164" fontId="0" fillId="17" borderId="41" xfId="11" applyNumberFormat="1" applyFont="1" applyFill="1" applyBorder="1"/>
    <xf numFmtId="164" fontId="0" fillId="17" borderId="58" xfId="11" applyNumberFormat="1" applyFont="1" applyFill="1" applyBorder="1"/>
    <xf numFmtId="164" fontId="0" fillId="17" borderId="55" xfId="11" applyNumberFormat="1" applyFont="1" applyFill="1" applyBorder="1"/>
    <xf numFmtId="164" fontId="0" fillId="14" borderId="40" xfId="11" applyNumberFormat="1" applyFont="1" applyFill="1" applyBorder="1"/>
    <xf numFmtId="164" fontId="0" fillId="17" borderId="60" xfId="11" applyNumberFormat="1" applyFont="1" applyFill="1" applyBorder="1"/>
    <xf numFmtId="164" fontId="0" fillId="14" borderId="46" xfId="11" applyNumberFormat="1" applyFont="1" applyFill="1" applyBorder="1"/>
    <xf numFmtId="164" fontId="0" fillId="17" borderId="3" xfId="11" applyNumberFormat="1" applyFont="1" applyFill="1" applyBorder="1"/>
    <xf numFmtId="14" fontId="0" fillId="0" borderId="1" xfId="0" applyNumberFormat="1" applyBorder="1"/>
    <xf numFmtId="168" fontId="0" fillId="0" borderId="0" xfId="2" applyNumberFormat="1" applyFont="1" applyAlignment="1">
      <alignment wrapText="1"/>
    </xf>
    <xf numFmtId="164" fontId="32" fillId="14" borderId="61" xfId="11" applyNumberFormat="1" applyFont="1" applyFill="1" applyBorder="1" applyAlignment="1">
      <alignment horizontal="right"/>
    </xf>
    <xf numFmtId="164" fontId="0" fillId="14" borderId="16" xfId="11" applyNumberFormat="1" applyFont="1" applyFill="1" applyBorder="1"/>
    <xf numFmtId="164" fontId="0" fillId="14" borderId="18" xfId="11" applyNumberFormat="1" applyFont="1" applyFill="1" applyBorder="1"/>
    <xf numFmtId="164" fontId="0" fillId="14" borderId="27" xfId="11" applyNumberFormat="1" applyFont="1" applyFill="1" applyBorder="1"/>
    <xf numFmtId="164" fontId="0" fillId="14" borderId="19" xfId="11" applyNumberFormat="1" applyFont="1" applyFill="1" applyBorder="1"/>
    <xf numFmtId="164" fontId="0" fillId="14" borderId="38" xfId="11" applyNumberFormat="1" applyFont="1" applyFill="1" applyBorder="1"/>
    <xf numFmtId="164" fontId="0" fillId="17" borderId="14" xfId="11" applyNumberFormat="1" applyFont="1" applyFill="1" applyBorder="1"/>
    <xf numFmtId="164" fontId="0" fillId="17" borderId="17" xfId="11" applyNumberFormat="1" applyFont="1" applyFill="1" applyBorder="1"/>
    <xf numFmtId="164" fontId="0" fillId="17" borderId="39" xfId="11" applyNumberFormat="1" applyFont="1" applyFill="1" applyBorder="1"/>
    <xf numFmtId="164" fontId="0" fillId="17" borderId="36" xfId="11" applyNumberFormat="1" applyFont="1" applyFill="1" applyBorder="1"/>
    <xf numFmtId="0" fontId="0" fillId="0" borderId="50" xfId="0" applyBorder="1"/>
    <xf numFmtId="0" fontId="0" fillId="0" borderId="72" xfId="0" applyBorder="1"/>
    <xf numFmtId="164" fontId="0" fillId="17" borderId="45" xfId="11" applyNumberFormat="1" applyFont="1" applyFill="1" applyBorder="1"/>
    <xf numFmtId="164" fontId="0" fillId="17" borderId="48" xfId="11" applyNumberFormat="1" applyFont="1" applyFill="1" applyBorder="1"/>
    <xf numFmtId="14" fontId="0" fillId="0" borderId="57" xfId="0" applyNumberFormat="1" applyBorder="1" applyAlignment="1">
      <alignment wrapText="1"/>
    </xf>
    <xf numFmtId="14" fontId="0" fillId="0" borderId="14" xfId="0" applyNumberFormat="1" applyBorder="1" applyAlignment="1">
      <alignment wrapText="1"/>
    </xf>
    <xf numFmtId="168" fontId="1" fillId="0" borderId="36" xfId="1" applyNumberFormat="1" applyFont="1" applyBorder="1"/>
    <xf numFmtId="14" fontId="0" fillId="0" borderId="2" xfId="0" applyNumberFormat="1" applyBorder="1" applyAlignment="1">
      <alignment wrapText="1"/>
    </xf>
    <xf numFmtId="14" fontId="0" fillId="0" borderId="36" xfId="0" applyNumberFormat="1" applyBorder="1" applyAlignment="1">
      <alignment wrapText="1"/>
    </xf>
    <xf numFmtId="14" fontId="0" fillId="0" borderId="39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43" fontId="0" fillId="17" borderId="42" xfId="0" applyNumberFormat="1" applyFill="1" applyBorder="1"/>
    <xf numFmtId="43" fontId="0" fillId="17" borderId="44" xfId="0" applyNumberFormat="1" applyFill="1" applyBorder="1"/>
    <xf numFmtId="43" fontId="0" fillId="17" borderId="47" xfId="0" applyNumberFormat="1" applyFill="1" applyBorder="1"/>
    <xf numFmtId="10" fontId="30" fillId="11" borderId="39" xfId="7" applyNumberFormat="1" applyFont="1" applyFill="1" applyBorder="1" applyAlignment="1">
      <alignment horizontal="right"/>
    </xf>
    <xf numFmtId="0" fontId="31" fillId="0" borderId="65" xfId="0" applyFont="1" applyBorder="1" applyAlignment="1">
      <alignment horizontal="center"/>
    </xf>
    <xf numFmtId="164" fontId="0" fillId="11" borderId="67" xfId="0" applyNumberFormat="1" applyFill="1" applyBorder="1"/>
    <xf numFmtId="164" fontId="0" fillId="11" borderId="68" xfId="0" applyNumberFormat="1" applyFill="1" applyBorder="1"/>
    <xf numFmtId="164" fontId="31" fillId="11" borderId="12" xfId="0" applyNumberFormat="1" applyFont="1" applyFill="1" applyBorder="1"/>
    <xf numFmtId="10" fontId="31" fillId="0" borderId="16" xfId="7" applyNumberFormat="1" applyFont="1" applyBorder="1" applyAlignment="1">
      <alignment horizontal="center"/>
    </xf>
    <xf numFmtId="10" fontId="30" fillId="11" borderId="18" xfId="7" applyNumberFormat="1" applyFont="1" applyFill="1" applyBorder="1"/>
    <xf numFmtId="10" fontId="30" fillId="11" borderId="19" xfId="7" applyNumberFormat="1" applyFont="1" applyFill="1" applyBorder="1"/>
    <xf numFmtId="10" fontId="30" fillId="11" borderId="41" xfId="7" applyNumberFormat="1" applyFont="1" applyFill="1" applyBorder="1"/>
    <xf numFmtId="164" fontId="30" fillId="0" borderId="0" xfId="11" applyNumberFormat="1" applyAlignment="1">
      <alignment horizontal="right"/>
    </xf>
    <xf numFmtId="168" fontId="0" fillId="0" borderId="0" xfId="0" applyNumberFormat="1"/>
    <xf numFmtId="10" fontId="5" fillId="0" borderId="25" xfId="3" applyNumberFormat="1" applyFont="1" applyBorder="1"/>
    <xf numFmtId="164" fontId="6" fillId="0" borderId="39" xfId="1" applyNumberFormat="1" applyFont="1" applyBorder="1"/>
    <xf numFmtId="164" fontId="5" fillId="0" borderId="1" xfId="1" applyNumberFormat="1" applyFont="1" applyBorder="1"/>
    <xf numFmtId="164" fontId="6" fillId="0" borderId="28" xfId="1" applyNumberFormat="1" applyFont="1" applyBorder="1"/>
    <xf numFmtId="43" fontId="3" fillId="0" borderId="16" xfId="1" applyFont="1" applyBorder="1"/>
    <xf numFmtId="43" fontId="3" fillId="0" borderId="18" xfId="1" applyFont="1" applyBorder="1"/>
    <xf numFmtId="43" fontId="3" fillId="0" borderId="27" xfId="1" applyFont="1" applyBorder="1"/>
    <xf numFmtId="10" fontId="5" fillId="0" borderId="26" xfId="3" applyNumberFormat="1" applyFont="1" applyBorder="1"/>
    <xf numFmtId="43" fontId="3" fillId="0" borderId="65" xfId="1" applyFont="1" applyBorder="1"/>
    <xf numFmtId="43" fontId="3" fillId="0" borderId="67" xfId="1" applyFont="1" applyBorder="1"/>
    <xf numFmtId="43" fontId="3" fillId="0" borderId="69" xfId="1" applyFont="1" applyBorder="1"/>
    <xf numFmtId="43" fontId="2" fillId="4" borderId="26" xfId="1" applyFont="1" applyFill="1" applyBorder="1"/>
    <xf numFmtId="164" fontId="0" fillId="19" borderId="31" xfId="11" applyNumberFormat="1" applyFont="1" applyFill="1" applyBorder="1"/>
    <xf numFmtId="164" fontId="0" fillId="19" borderId="30" xfId="11" applyNumberFormat="1" applyFont="1" applyFill="1" applyBorder="1"/>
    <xf numFmtId="164" fontId="0" fillId="19" borderId="33" xfId="11" applyNumberFormat="1" applyFont="1" applyFill="1" applyBorder="1"/>
    <xf numFmtId="10" fontId="8" fillId="2" borderId="41" xfId="3" applyNumberFormat="1" applyFont="1" applyFill="1" applyBorder="1"/>
    <xf numFmtId="164" fontId="8" fillId="2" borderId="46" xfId="0" applyNumberFormat="1" applyFont="1" applyFill="1" applyBorder="1"/>
    <xf numFmtId="10" fontId="1" fillId="2" borderId="16" xfId="7" applyNumberFormat="1" applyFill="1" applyBorder="1"/>
    <xf numFmtId="10" fontId="1" fillId="2" borderId="18" xfId="7" applyNumberFormat="1" applyFill="1" applyBorder="1"/>
    <xf numFmtId="0" fontId="0" fillId="0" borderId="1" xfId="0" applyBorder="1" applyAlignment="1">
      <alignment horizontal="left"/>
    </xf>
    <xf numFmtId="4" fontId="24" fillId="0" borderId="47" xfId="0" applyNumberFormat="1" applyFont="1" applyBorder="1" applyAlignment="1">
      <alignment wrapText="1"/>
    </xf>
    <xf numFmtId="14" fontId="24" fillId="0" borderId="42" xfId="0" applyNumberFormat="1" applyFont="1" applyBorder="1" applyAlignment="1">
      <alignment wrapText="1"/>
    </xf>
    <xf numFmtId="14" fontId="0" fillId="0" borderId="42" xfId="0" applyNumberFormat="1" applyBorder="1"/>
    <xf numFmtId="4" fontId="0" fillId="0" borderId="45" xfId="0" applyNumberFormat="1" applyBorder="1" applyAlignment="1">
      <alignment wrapText="1"/>
    </xf>
    <xf numFmtId="4" fontId="0" fillId="0" borderId="21" xfId="0" applyNumberFormat="1" applyBorder="1" applyAlignment="1">
      <alignment wrapText="1"/>
    </xf>
    <xf numFmtId="4" fontId="0" fillId="0" borderId="23" xfId="0" applyNumberFormat="1" applyBorder="1" applyAlignment="1">
      <alignment wrapText="1"/>
    </xf>
    <xf numFmtId="4" fontId="0" fillId="0" borderId="20" xfId="0" applyNumberFormat="1" applyBorder="1" applyAlignment="1">
      <alignment wrapText="1"/>
    </xf>
    <xf numFmtId="14" fontId="0" fillId="0" borderId="36" xfId="0" applyNumberFormat="1" applyBorder="1"/>
    <xf numFmtId="14" fontId="0" fillId="0" borderId="17" xfId="0" applyNumberFormat="1" applyBorder="1"/>
    <xf numFmtId="4" fontId="0" fillId="0" borderId="17" xfId="0" applyNumberFormat="1" applyBorder="1" applyAlignment="1">
      <alignment wrapText="1"/>
    </xf>
    <xf numFmtId="4" fontId="0" fillId="0" borderId="18" xfId="0" applyNumberFormat="1" applyBorder="1" applyAlignment="1">
      <alignment wrapText="1"/>
    </xf>
    <xf numFmtId="4" fontId="24" fillId="0" borderId="18" xfId="0" applyNumberFormat="1" applyFont="1" applyBorder="1" applyAlignment="1">
      <alignment wrapText="1"/>
    </xf>
    <xf numFmtId="4" fontId="0" fillId="0" borderId="59" xfId="0" applyNumberFormat="1" applyBorder="1" applyAlignment="1">
      <alignment wrapText="1"/>
    </xf>
    <xf numFmtId="4" fontId="39" fillId="0" borderId="18" xfId="0" applyNumberFormat="1" applyFont="1" applyBorder="1" applyAlignment="1">
      <alignment wrapText="1"/>
    </xf>
    <xf numFmtId="14" fontId="0" fillId="0" borderId="17" xfId="0" applyNumberFormat="1" applyBorder="1" applyAlignment="1">
      <alignment wrapText="1"/>
    </xf>
    <xf numFmtId="4" fontId="24" fillId="0" borderId="21" xfId="0" applyNumberFormat="1" applyFont="1" applyBorder="1" applyAlignment="1">
      <alignment wrapText="1"/>
    </xf>
    <xf numFmtId="4" fontId="39" fillId="0" borderId="21" xfId="0" applyNumberFormat="1" applyFont="1" applyBorder="1" applyAlignment="1">
      <alignment wrapText="1"/>
    </xf>
    <xf numFmtId="4" fontId="38" fillId="0" borderId="21" xfId="0" applyNumberFormat="1" applyFont="1" applyBorder="1" applyAlignment="1">
      <alignment wrapText="1"/>
    </xf>
    <xf numFmtId="4" fontId="40" fillId="0" borderId="18" xfId="0" applyNumberFormat="1" applyFont="1" applyBorder="1" applyAlignment="1">
      <alignment wrapText="1"/>
    </xf>
    <xf numFmtId="14" fontId="24" fillId="0" borderId="14" xfId="0" applyNumberFormat="1" applyFont="1" applyBorder="1" applyAlignment="1">
      <alignment wrapText="1"/>
    </xf>
    <xf numFmtId="4" fontId="24" fillId="0" borderId="73" xfId="0" applyNumberFormat="1" applyFont="1" applyBorder="1" applyAlignment="1">
      <alignment wrapText="1"/>
    </xf>
    <xf numFmtId="0" fontId="0" fillId="0" borderId="14" xfId="0" applyBorder="1"/>
    <xf numFmtId="14" fontId="24" fillId="0" borderId="17" xfId="0" applyNumberFormat="1" applyFont="1" applyBorder="1" applyAlignment="1">
      <alignment wrapText="1"/>
    </xf>
    <xf numFmtId="0" fontId="0" fillId="0" borderId="17" xfId="0" applyBorder="1"/>
    <xf numFmtId="14" fontId="24" fillId="0" borderId="22" xfId="0" applyNumberFormat="1" applyFont="1" applyBorder="1" applyAlignment="1">
      <alignment wrapText="1"/>
    </xf>
    <xf numFmtId="14" fontId="0" fillId="0" borderId="22" xfId="0" applyNumberFormat="1" applyBorder="1"/>
    <xf numFmtId="14" fontId="0" fillId="0" borderId="14" xfId="0" applyNumberFormat="1" applyBorder="1"/>
    <xf numFmtId="14" fontId="24" fillId="0" borderId="63" xfId="0" applyNumberFormat="1" applyFont="1" applyBorder="1" applyAlignment="1">
      <alignment wrapText="1"/>
    </xf>
    <xf numFmtId="0" fontId="0" fillId="0" borderId="36" xfId="0" applyBorder="1"/>
    <xf numFmtId="0" fontId="0" fillId="0" borderId="38" xfId="0" applyBorder="1"/>
    <xf numFmtId="14" fontId="24" fillId="0" borderId="36" xfId="0" applyNumberFormat="1" applyFont="1" applyBorder="1" applyAlignment="1">
      <alignment wrapText="1"/>
    </xf>
    <xf numFmtId="4" fontId="0" fillId="0" borderId="49" xfId="0" applyNumberFormat="1" applyBorder="1" applyAlignment="1">
      <alignment wrapText="1"/>
    </xf>
    <xf numFmtId="4" fontId="24" fillId="0" borderId="74" xfId="0" applyNumberFormat="1" applyFont="1" applyBorder="1" applyAlignment="1">
      <alignment wrapText="1"/>
    </xf>
    <xf numFmtId="14" fontId="24" fillId="0" borderId="39" xfId="0" applyNumberFormat="1" applyFont="1" applyBorder="1" applyAlignment="1">
      <alignment wrapText="1"/>
    </xf>
    <xf numFmtId="14" fontId="0" fillId="0" borderId="39" xfId="0" applyNumberFormat="1" applyBorder="1"/>
    <xf numFmtId="0" fontId="24" fillId="0" borderId="73" xfId="0" applyFont="1" applyBorder="1" applyAlignment="1">
      <alignment wrapText="1"/>
    </xf>
    <xf numFmtId="14" fontId="0" fillId="0" borderId="8" xfId="0" applyNumberFormat="1" applyBorder="1"/>
    <xf numFmtId="14" fontId="0" fillId="0" borderId="10" xfId="0" applyNumberFormat="1" applyBorder="1"/>
    <xf numFmtId="4" fontId="38" fillId="0" borderId="74" xfId="0" applyNumberFormat="1" applyFont="1" applyBorder="1" applyAlignment="1">
      <alignment wrapText="1"/>
    </xf>
    <xf numFmtId="14" fontId="0" fillId="0" borderId="64" xfId="0" applyNumberFormat="1" applyBorder="1" applyAlignment="1">
      <alignment wrapText="1"/>
    </xf>
    <xf numFmtId="4" fontId="0" fillId="0" borderId="68" xfId="0" applyNumberFormat="1" applyBorder="1" applyAlignment="1">
      <alignment wrapText="1"/>
    </xf>
    <xf numFmtId="44" fontId="0" fillId="0" borderId="0" xfId="2" applyFont="1" applyAlignment="1">
      <alignment wrapText="1"/>
    </xf>
    <xf numFmtId="44" fontId="0" fillId="0" borderId="65" xfId="2" applyFont="1" applyBorder="1" applyAlignment="1">
      <alignment wrapText="1"/>
    </xf>
    <xf numFmtId="44" fontId="0" fillId="0" borderId="66" xfId="2" applyFont="1" applyBorder="1" applyAlignment="1">
      <alignment wrapText="1"/>
    </xf>
    <xf numFmtId="44" fontId="0" fillId="0" borderId="67" xfId="2" applyFont="1" applyBorder="1" applyAlignment="1">
      <alignment wrapText="1"/>
    </xf>
    <xf numFmtId="44" fontId="0" fillId="0" borderId="69" xfId="2" applyFont="1" applyBorder="1" applyAlignment="1">
      <alignment wrapText="1"/>
    </xf>
    <xf numFmtId="44" fontId="0" fillId="17" borderId="26" xfId="2" applyFont="1" applyFill="1" applyBorder="1" applyAlignment="1">
      <alignment wrapText="1"/>
    </xf>
    <xf numFmtId="44" fontId="0" fillId="0" borderId="9" xfId="2" applyFont="1" applyBorder="1" applyAlignment="1">
      <alignment wrapText="1"/>
    </xf>
    <xf numFmtId="44" fontId="0" fillId="0" borderId="68" xfId="2" applyFont="1" applyBorder="1" applyAlignment="1">
      <alignment wrapText="1"/>
    </xf>
    <xf numFmtId="164" fontId="31" fillId="11" borderId="66" xfId="8" applyNumberFormat="1" applyFont="1" applyFill="1" applyBorder="1"/>
    <xf numFmtId="0" fontId="41" fillId="0" borderId="0" xfId="0" applyFont="1" applyAlignment="1">
      <alignment horizontal="right"/>
    </xf>
    <xf numFmtId="10" fontId="1" fillId="2" borderId="16" xfId="3" applyNumberFormat="1" applyFont="1" applyFill="1" applyBorder="1"/>
    <xf numFmtId="10" fontId="1" fillId="2" borderId="18" xfId="3" applyNumberFormat="1" applyFont="1" applyFill="1" applyBorder="1"/>
    <xf numFmtId="10" fontId="1" fillId="2" borderId="41" xfId="3" applyNumberFormat="1" applyFont="1" applyFill="1" applyBorder="1"/>
    <xf numFmtId="43" fontId="3" fillId="0" borderId="8" xfId="1" applyFont="1" applyBorder="1"/>
    <xf numFmtId="43" fontId="3" fillId="0" borderId="72" xfId="1" applyFont="1" applyBorder="1"/>
    <xf numFmtId="164" fontId="6" fillId="0" borderId="40" xfId="1" applyNumberFormat="1" applyFont="1" applyBorder="1"/>
    <xf numFmtId="164" fontId="6" fillId="0" borderId="46" xfId="1" applyNumberFormat="1" applyFont="1" applyBorder="1"/>
    <xf numFmtId="10" fontId="6" fillId="0" borderId="41" xfId="3" applyNumberFormat="1" applyFont="1" applyBorder="1" applyAlignment="1">
      <alignment horizontal="right"/>
    </xf>
    <xf numFmtId="164" fontId="6" fillId="0" borderId="43" xfId="1" applyNumberFormat="1" applyFont="1" applyBorder="1"/>
    <xf numFmtId="10" fontId="6" fillId="0" borderId="41" xfId="3" applyNumberFormat="1" applyFont="1" applyBorder="1"/>
    <xf numFmtId="0" fontId="2" fillId="4" borderId="6" xfId="0" applyFont="1" applyFill="1" applyBorder="1" applyAlignment="1">
      <alignment horizontal="center"/>
    </xf>
    <xf numFmtId="164" fontId="3" fillId="0" borderId="22" xfId="1" applyNumberFormat="1" applyFont="1" applyBorder="1"/>
    <xf numFmtId="164" fontId="3" fillId="0" borderId="32" xfId="1" applyNumberFormat="1" applyFont="1" applyBorder="1"/>
    <xf numFmtId="164" fontId="5" fillId="0" borderId="10" xfId="1" applyNumberFormat="1" applyFont="1" applyBorder="1"/>
    <xf numFmtId="164" fontId="5" fillId="0" borderId="75" xfId="1" applyNumberFormat="1" applyFont="1" applyBorder="1"/>
    <xf numFmtId="43" fontId="3" fillId="0" borderId="64" xfId="1" applyFont="1" applyBorder="1"/>
    <xf numFmtId="164" fontId="30" fillId="11" borderId="35" xfId="8" applyNumberFormat="1" applyFont="1" applyFill="1" applyBorder="1"/>
    <xf numFmtId="164" fontId="0" fillId="11" borderId="27" xfId="0" applyNumberFormat="1" applyFill="1" applyBorder="1"/>
    <xf numFmtId="164" fontId="30" fillId="11" borderId="27" xfId="8" applyNumberFormat="1" applyFont="1" applyFill="1" applyBorder="1"/>
    <xf numFmtId="0" fontId="31" fillId="0" borderId="13" xfId="0" applyFont="1" applyBorder="1"/>
    <xf numFmtId="10" fontId="30" fillId="0" borderId="10" xfId="7" applyNumberFormat="1" applyFont="1" applyBorder="1"/>
    <xf numFmtId="10" fontId="6" fillId="0" borderId="51" xfId="3" applyNumberFormat="1" applyFont="1" applyBorder="1"/>
    <xf numFmtId="0" fontId="2" fillId="4" borderId="71" xfId="0" applyFont="1" applyFill="1" applyBorder="1" applyAlignment="1">
      <alignment horizontal="center"/>
    </xf>
    <xf numFmtId="0" fontId="2" fillId="4" borderId="51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43" fontId="1" fillId="0" borderId="36" xfId="8" applyBorder="1"/>
    <xf numFmtId="43" fontId="1" fillId="0" borderId="37" xfId="8" applyBorder="1"/>
    <xf numFmtId="43" fontId="1" fillId="0" borderId="5" xfId="8" applyBorder="1"/>
    <xf numFmtId="43" fontId="1" fillId="0" borderId="32" xfId="8" applyBorder="1"/>
    <xf numFmtId="4" fontId="31" fillId="0" borderId="1" xfId="0" applyNumberFormat="1" applyFont="1" applyBorder="1" applyAlignment="1">
      <alignment horizontal="center" wrapText="1"/>
    </xf>
    <xf numFmtId="168" fontId="31" fillId="0" borderId="1" xfId="2" applyNumberFormat="1" applyFont="1" applyBorder="1" applyAlignment="1">
      <alignment horizontal="center" wrapText="1"/>
    </xf>
    <xf numFmtId="0" fontId="13" fillId="0" borderId="12" xfId="0" applyFont="1" applyBorder="1" applyAlignment="1">
      <alignment textRotation="90" wrapText="1"/>
    </xf>
    <xf numFmtId="0" fontId="13" fillId="0" borderId="9" xfId="0" applyFont="1" applyBorder="1" applyAlignment="1">
      <alignment horizontal="center" textRotation="90" wrapText="1"/>
    </xf>
    <xf numFmtId="14" fontId="0" fillId="0" borderId="20" xfId="0" applyNumberFormat="1" applyBorder="1" applyAlignment="1">
      <alignment wrapText="1"/>
    </xf>
    <xf numFmtId="14" fontId="0" fillId="0" borderId="21" xfId="0" applyNumberFormat="1" applyBorder="1" applyAlignment="1">
      <alignment wrapText="1"/>
    </xf>
    <xf numFmtId="14" fontId="0" fillId="0" borderId="22" xfId="0" applyNumberFormat="1" applyBorder="1" applyAlignment="1">
      <alignment wrapText="1"/>
    </xf>
    <xf numFmtId="43" fontId="1" fillId="17" borderId="38" xfId="1" applyFont="1" applyFill="1" applyBorder="1"/>
    <xf numFmtId="165" fontId="0" fillId="0" borderId="0" xfId="0" applyNumberFormat="1"/>
    <xf numFmtId="168" fontId="0" fillId="0" borderId="65" xfId="2" applyNumberFormat="1" applyFont="1" applyBorder="1" applyAlignment="1">
      <alignment wrapText="1"/>
    </xf>
    <xf numFmtId="168" fontId="0" fillId="17" borderId="47" xfId="2" applyNumberFormat="1" applyFont="1" applyFill="1" applyBorder="1" applyAlignment="1">
      <alignment wrapText="1"/>
    </xf>
    <xf numFmtId="168" fontId="0" fillId="0" borderId="16" xfId="2" applyNumberFormat="1" applyFont="1" applyBorder="1" applyAlignment="1">
      <alignment wrapText="1"/>
    </xf>
    <xf numFmtId="44" fontId="0" fillId="0" borderId="16" xfId="2" applyFont="1" applyBorder="1" applyAlignment="1">
      <alignment wrapText="1"/>
    </xf>
    <xf numFmtId="44" fontId="0" fillId="0" borderId="18" xfId="2" applyFont="1" applyBorder="1" applyAlignment="1">
      <alignment wrapText="1"/>
    </xf>
    <xf numFmtId="44" fontId="0" fillId="0" borderId="19" xfId="2" applyFont="1" applyBorder="1" applyAlignment="1">
      <alignment wrapText="1"/>
    </xf>
    <xf numFmtId="0" fontId="13" fillId="0" borderId="0" xfId="0" applyFont="1" applyAlignment="1">
      <alignment horizontal="center" textRotation="90" wrapText="1"/>
    </xf>
    <xf numFmtId="0" fontId="13" fillId="0" borderId="0" xfId="0" applyFont="1" applyAlignment="1">
      <alignment textRotation="90" wrapText="1"/>
    </xf>
    <xf numFmtId="44" fontId="0" fillId="0" borderId="16" xfId="10" applyFont="1" applyBorder="1" applyAlignment="1">
      <alignment wrapText="1"/>
    </xf>
    <xf numFmtId="10" fontId="1" fillId="20" borderId="15" xfId="3" applyNumberFormat="1" applyFont="1" applyFill="1" applyBorder="1"/>
    <xf numFmtId="44" fontId="0" fillId="0" borderId="18" xfId="10" applyFont="1" applyBorder="1" applyAlignment="1">
      <alignment wrapText="1"/>
    </xf>
    <xf numFmtId="44" fontId="0" fillId="0" borderId="19" xfId="10" applyFont="1" applyBorder="1" applyAlignment="1">
      <alignment wrapText="1"/>
    </xf>
    <xf numFmtId="44" fontId="0" fillId="0" borderId="65" xfId="10" applyFont="1" applyBorder="1" applyAlignment="1">
      <alignment wrapText="1"/>
    </xf>
    <xf numFmtId="44" fontId="0" fillId="0" borderId="67" xfId="10" applyFont="1" applyBorder="1" applyAlignment="1">
      <alignment wrapText="1"/>
    </xf>
    <xf numFmtId="44" fontId="0" fillId="0" borderId="68" xfId="10" applyFont="1" applyBorder="1" applyAlignment="1">
      <alignment wrapText="1"/>
    </xf>
    <xf numFmtId="43" fontId="0" fillId="14" borderId="14" xfId="11" applyFont="1" applyFill="1" applyBorder="1"/>
    <xf numFmtId="43" fontId="0" fillId="14" borderId="15" xfId="11" applyFont="1" applyFill="1" applyBorder="1"/>
    <xf numFmtId="43" fontId="0" fillId="17" borderId="16" xfId="11" applyFont="1" applyFill="1" applyBorder="1"/>
    <xf numFmtId="43" fontId="0" fillId="14" borderId="17" xfId="11" applyFont="1" applyFill="1" applyBorder="1"/>
    <xf numFmtId="43" fontId="0" fillId="14" borderId="5" xfId="11" applyFont="1" applyFill="1" applyBorder="1"/>
    <xf numFmtId="43" fontId="0" fillId="17" borderId="18" xfId="11" applyFont="1" applyFill="1" applyBorder="1"/>
    <xf numFmtId="43" fontId="0" fillId="14" borderId="22" xfId="11" applyFont="1" applyFill="1" applyBorder="1"/>
    <xf numFmtId="43" fontId="0" fillId="14" borderId="32" xfId="11" applyFont="1" applyFill="1" applyBorder="1"/>
    <xf numFmtId="43" fontId="0" fillId="17" borderId="19" xfId="11" applyFont="1" applyFill="1" applyBorder="1"/>
    <xf numFmtId="43" fontId="0" fillId="0" borderId="8" xfId="11" applyFont="1" applyBorder="1"/>
    <xf numFmtId="43" fontId="0" fillId="0" borderId="0" xfId="11" applyFont="1"/>
    <xf numFmtId="43" fontId="0" fillId="0" borderId="9" xfId="11" applyFont="1" applyBorder="1"/>
    <xf numFmtId="43" fontId="0" fillId="14" borderId="39" xfId="11" applyFont="1" applyFill="1" applyBorder="1"/>
    <xf numFmtId="43" fontId="0" fillId="14" borderId="35" xfId="11" applyFont="1" applyFill="1" applyBorder="1"/>
    <xf numFmtId="43" fontId="0" fillId="17" borderId="27" xfId="11" applyFont="1" applyFill="1" applyBorder="1"/>
    <xf numFmtId="43" fontId="0" fillId="14" borderId="36" xfId="11" applyFont="1" applyFill="1" applyBorder="1"/>
    <xf numFmtId="43" fontId="0" fillId="14" borderId="37" xfId="11" applyFont="1" applyFill="1" applyBorder="1"/>
    <xf numFmtId="43" fontId="0" fillId="17" borderId="38" xfId="11" applyFont="1" applyFill="1" applyBorder="1"/>
    <xf numFmtId="43" fontId="0" fillId="0" borderId="4" xfId="11" applyFont="1" applyBorder="1"/>
    <xf numFmtId="43" fontId="0" fillId="17" borderId="14" xfId="11" applyFont="1" applyFill="1" applyBorder="1"/>
    <xf numFmtId="43" fontId="0" fillId="17" borderId="15" xfId="11" applyFont="1" applyFill="1" applyBorder="1"/>
    <xf numFmtId="43" fontId="0" fillId="19" borderId="17" xfId="11" applyFont="1" applyFill="1" applyBorder="1"/>
    <xf numFmtId="43" fontId="0" fillId="19" borderId="5" xfId="11" applyFont="1" applyFill="1" applyBorder="1"/>
    <xf numFmtId="43" fontId="0" fillId="19" borderId="22" xfId="11" applyFont="1" applyFill="1" applyBorder="1"/>
    <xf numFmtId="43" fontId="0" fillId="19" borderId="32" xfId="11" applyFont="1" applyFill="1" applyBorder="1"/>
    <xf numFmtId="43" fontId="0" fillId="19" borderId="46" xfId="11" applyFont="1" applyFill="1" applyBorder="1"/>
    <xf numFmtId="43" fontId="0" fillId="19" borderId="40" xfId="11" applyFont="1" applyFill="1" applyBorder="1"/>
    <xf numFmtId="43" fontId="0" fillId="17" borderId="41" xfId="11" applyFont="1" applyFill="1" applyBorder="1"/>
    <xf numFmtId="43" fontId="2" fillId="4" borderId="75" xfId="1" applyFont="1" applyFill="1" applyBorder="1"/>
    <xf numFmtId="43" fontId="3" fillId="0" borderId="68" xfId="1" applyFont="1" applyBorder="1"/>
    <xf numFmtId="0" fontId="31" fillId="0" borderId="1" xfId="0" applyFont="1" applyBorder="1" applyAlignment="1">
      <alignment horizontal="left"/>
    </xf>
    <xf numFmtId="14" fontId="42" fillId="0" borderId="42" xfId="0" applyNumberFormat="1" applyFont="1" applyBorder="1" applyAlignment="1">
      <alignment wrapText="1"/>
    </xf>
    <xf numFmtId="4" fontId="42" fillId="0" borderId="47" xfId="0" applyNumberFormat="1" applyFont="1" applyBorder="1" applyAlignment="1">
      <alignment wrapText="1"/>
    </xf>
    <xf numFmtId="14" fontId="31" fillId="0" borderId="42" xfId="0" applyNumberFormat="1" applyFont="1" applyBorder="1"/>
    <xf numFmtId="4" fontId="31" fillId="0" borderId="45" xfId="0" applyNumberFormat="1" applyFont="1" applyBorder="1" applyAlignment="1">
      <alignment wrapText="1"/>
    </xf>
    <xf numFmtId="168" fontId="31" fillId="17" borderId="47" xfId="2" applyNumberFormat="1" applyFont="1" applyFill="1" applyBorder="1" applyAlignment="1">
      <alignment wrapText="1"/>
    </xf>
    <xf numFmtId="14" fontId="31" fillId="0" borderId="1" xfId="0" applyNumberFormat="1" applyFont="1" applyBorder="1" applyAlignment="1">
      <alignment wrapText="1"/>
    </xf>
    <xf numFmtId="44" fontId="31" fillId="17" borderId="26" xfId="2" applyFont="1" applyFill="1" applyBorder="1" applyAlignment="1">
      <alignment wrapText="1"/>
    </xf>
    <xf numFmtId="44" fontId="0" fillId="0" borderId="69" xfId="10" applyFont="1" applyBorder="1" applyAlignment="1">
      <alignment wrapText="1"/>
    </xf>
    <xf numFmtId="44" fontId="0" fillId="0" borderId="38" xfId="10" applyFont="1" applyBorder="1" applyAlignment="1">
      <alignment wrapText="1"/>
    </xf>
    <xf numFmtId="0" fontId="13" fillId="0" borderId="1" xfId="0" applyFont="1" applyBorder="1" applyAlignment="1">
      <alignment horizontal="center" textRotation="90" wrapText="1"/>
    </xf>
    <xf numFmtId="43" fontId="31" fillId="17" borderId="42" xfId="0" applyNumberFormat="1" applyFont="1" applyFill="1" applyBorder="1"/>
    <xf numFmtId="43" fontId="31" fillId="17" borderId="47" xfId="0" applyNumberFormat="1" applyFont="1" applyFill="1" applyBorder="1"/>
    <xf numFmtId="4" fontId="31" fillId="0" borderId="0" xfId="0" applyNumberFormat="1" applyFont="1"/>
    <xf numFmtId="43" fontId="31" fillId="17" borderId="44" xfId="0" applyNumberFormat="1" applyFont="1" applyFill="1" applyBorder="1"/>
    <xf numFmtId="10" fontId="5" fillId="11" borderId="18" xfId="3" applyNumberFormat="1" applyFont="1" applyFill="1" applyBorder="1"/>
    <xf numFmtId="10" fontId="5" fillId="11" borderId="19" xfId="3" applyNumberFormat="1" applyFont="1" applyFill="1" applyBorder="1"/>
    <xf numFmtId="43" fontId="6" fillId="0" borderId="31" xfId="1" applyFont="1" applyBorder="1"/>
    <xf numFmtId="44" fontId="0" fillId="0" borderId="66" xfId="10" applyFont="1" applyBorder="1" applyAlignment="1">
      <alignment wrapText="1"/>
    </xf>
    <xf numFmtId="44" fontId="0" fillId="0" borderId="55" xfId="2" applyFont="1" applyBorder="1" applyAlignment="1">
      <alignment wrapText="1"/>
    </xf>
    <xf numFmtId="14" fontId="0" fillId="0" borderId="53" xfId="0" applyNumberFormat="1" applyBorder="1" applyAlignment="1">
      <alignment wrapText="1"/>
    </xf>
    <xf numFmtId="44" fontId="0" fillId="0" borderId="64" xfId="2" applyFont="1" applyBorder="1" applyAlignment="1">
      <alignment wrapText="1"/>
    </xf>
    <xf numFmtId="14" fontId="0" fillId="0" borderId="59" xfId="0" applyNumberFormat="1" applyBorder="1" applyAlignment="1">
      <alignment wrapText="1"/>
    </xf>
    <xf numFmtId="44" fontId="0" fillId="0" borderId="37" xfId="2" applyFont="1" applyBorder="1" applyAlignment="1">
      <alignment wrapText="1"/>
    </xf>
    <xf numFmtId="14" fontId="31" fillId="0" borderId="24" xfId="0" applyNumberFormat="1" applyFont="1" applyBorder="1" applyAlignment="1">
      <alignment wrapText="1"/>
    </xf>
    <xf numFmtId="44" fontId="0" fillId="0" borderId="58" xfId="2" applyFont="1" applyBorder="1" applyAlignment="1">
      <alignment wrapText="1"/>
    </xf>
    <xf numFmtId="44" fontId="31" fillId="17" borderId="1" xfId="2" applyFont="1" applyFill="1" applyBorder="1" applyAlignment="1">
      <alignment wrapText="1"/>
    </xf>
    <xf numFmtId="43" fontId="3" fillId="0" borderId="75" xfId="1" applyFont="1" applyBorder="1"/>
    <xf numFmtId="44" fontId="0" fillId="0" borderId="38" xfId="2" applyFont="1" applyBorder="1" applyAlignment="1">
      <alignment wrapText="1"/>
    </xf>
    <xf numFmtId="14" fontId="42" fillId="0" borderId="48" xfId="0" applyNumberFormat="1" applyFont="1" applyBorder="1" applyAlignment="1">
      <alignment wrapText="1"/>
    </xf>
    <xf numFmtId="44" fontId="0" fillId="17" borderId="1" xfId="2" applyFont="1" applyFill="1" applyBorder="1" applyAlignment="1">
      <alignment wrapText="1"/>
    </xf>
    <xf numFmtId="0" fontId="0" fillId="0" borderId="0" xfId="0" applyFill="1"/>
    <xf numFmtId="0" fontId="2" fillId="0" borderId="0" xfId="0" applyFont="1" applyFill="1" applyAlignment="1">
      <alignment horizontal="right"/>
    </xf>
    <xf numFmtId="0" fontId="3" fillId="0" borderId="14" xfId="0" applyFont="1" applyBorder="1"/>
    <xf numFmtId="43" fontId="3" fillId="0" borderId="15" xfId="8" applyFont="1" applyBorder="1"/>
    <xf numFmtId="10" fontId="2" fillId="0" borderId="16" xfId="0" applyNumberFormat="1" applyFont="1" applyBorder="1" applyAlignment="1">
      <alignment horizontal="right"/>
    </xf>
    <xf numFmtId="0" fontId="3" fillId="0" borderId="17" xfId="0" applyFont="1" applyBorder="1"/>
    <xf numFmtId="43" fontId="3" fillId="0" borderId="5" xfId="8" applyFont="1" applyBorder="1"/>
    <xf numFmtId="10" fontId="2" fillId="0" borderId="18" xfId="0" applyNumberFormat="1" applyFont="1" applyBorder="1" applyAlignment="1">
      <alignment horizontal="right"/>
    </xf>
    <xf numFmtId="0" fontId="3" fillId="0" borderId="39" xfId="0" applyFont="1" applyBorder="1"/>
    <xf numFmtId="43" fontId="3" fillId="0" borderId="35" xfId="8" applyFont="1" applyBorder="1"/>
    <xf numFmtId="10" fontId="2" fillId="0" borderId="27" xfId="0" applyNumberFormat="1" applyFont="1" applyBorder="1" applyAlignment="1">
      <alignment horizontal="right"/>
    </xf>
    <xf numFmtId="0" fontId="2" fillId="21" borderId="42" xfId="0" applyFont="1" applyFill="1" applyBorder="1"/>
    <xf numFmtId="43" fontId="2" fillId="21" borderId="44" xfId="8" applyFont="1" applyFill="1" applyBorder="1"/>
    <xf numFmtId="10" fontId="2" fillId="21" borderId="47" xfId="0" applyNumberFormat="1" applyFont="1" applyFill="1" applyBorder="1" applyAlignment="1">
      <alignment horizontal="right"/>
    </xf>
    <xf numFmtId="164" fontId="44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3" fillId="0" borderId="65" xfId="0" applyFont="1" applyBorder="1" applyAlignment="1">
      <alignment horizontal="center" textRotation="90" wrapText="1"/>
    </xf>
    <xf numFmtId="0" fontId="13" fillId="0" borderId="67" xfId="0" applyFont="1" applyBorder="1" applyAlignment="1">
      <alignment horizontal="center" textRotation="90" wrapText="1"/>
    </xf>
    <xf numFmtId="0" fontId="13" fillId="0" borderId="68" xfId="0" applyFont="1" applyBorder="1" applyAlignment="1">
      <alignment horizontal="center" textRotation="90" wrapText="1"/>
    </xf>
    <xf numFmtId="0" fontId="13" fillId="0" borderId="69" xfId="0" applyFont="1" applyBorder="1" applyAlignment="1">
      <alignment horizontal="center" textRotation="90" wrapText="1"/>
    </xf>
    <xf numFmtId="0" fontId="13" fillId="0" borderId="66" xfId="0" applyFont="1" applyBorder="1" applyAlignment="1">
      <alignment horizontal="center" textRotation="90" wrapText="1"/>
    </xf>
    <xf numFmtId="0" fontId="13" fillId="0" borderId="50" xfId="0" applyFont="1" applyBorder="1" applyAlignment="1">
      <alignment horizontal="center" textRotation="90" wrapText="1"/>
    </xf>
    <xf numFmtId="0" fontId="13" fillId="0" borderId="72" xfId="0" applyFont="1" applyBorder="1" applyAlignment="1">
      <alignment horizontal="center" textRotation="90" wrapText="1"/>
    </xf>
    <xf numFmtId="0" fontId="13" fillId="0" borderId="75" xfId="0" applyFont="1" applyBorder="1" applyAlignment="1">
      <alignment horizontal="center" textRotation="90" wrapText="1"/>
    </xf>
    <xf numFmtId="0" fontId="13" fillId="0" borderId="24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27" fillId="14" borderId="24" xfId="0" applyFont="1" applyFill="1" applyBorder="1" applyAlignment="1">
      <alignment horizontal="center"/>
    </xf>
    <xf numFmtId="0" fontId="27" fillId="14" borderId="25" xfId="0" applyFont="1" applyFill="1" applyBorder="1" applyAlignment="1">
      <alignment horizontal="center"/>
    </xf>
    <xf numFmtId="0" fontId="27" fillId="14" borderId="26" xfId="0" applyFont="1" applyFill="1" applyBorder="1" applyAlignment="1">
      <alignment horizontal="center"/>
    </xf>
    <xf numFmtId="164" fontId="0" fillId="0" borderId="57" xfId="11" applyNumberFormat="1" applyFont="1" applyBorder="1" applyAlignment="1">
      <alignment horizontal="center"/>
    </xf>
    <xf numFmtId="164" fontId="0" fillId="0" borderId="70" xfId="11" applyNumberFormat="1" applyFont="1" applyBorder="1" applyAlignment="1">
      <alignment horizontal="center"/>
    </xf>
    <xf numFmtId="164" fontId="0" fillId="0" borderId="65" xfId="11" applyNumberFormat="1" applyFont="1" applyBorder="1" applyAlignment="1">
      <alignment horizontal="center"/>
    </xf>
    <xf numFmtId="164" fontId="0" fillId="0" borderId="14" xfId="11" applyNumberFormat="1" applyFont="1" applyBorder="1" applyAlignment="1">
      <alignment horizontal="center"/>
    </xf>
    <xf numFmtId="164" fontId="0" fillId="0" borderId="15" xfId="11" applyNumberFormat="1" applyFont="1" applyBorder="1" applyAlignment="1">
      <alignment horizontal="center"/>
    </xf>
    <xf numFmtId="164" fontId="0" fillId="13" borderId="28" xfId="11" applyNumberFormat="1" applyFont="1" applyFill="1" applyBorder="1" applyAlignment="1">
      <alignment horizontal="center" textRotation="90"/>
    </xf>
    <xf numFmtId="164" fontId="0" fillId="13" borderId="2" xfId="11" applyNumberFormat="1" applyFont="1" applyFill="1" applyBorder="1" applyAlignment="1">
      <alignment horizontal="center" textRotation="90"/>
    </xf>
    <xf numFmtId="164" fontId="0" fillId="13" borderId="46" xfId="11" applyNumberFormat="1" applyFont="1" applyFill="1" applyBorder="1" applyAlignment="1">
      <alignment horizontal="center" textRotation="90"/>
    </xf>
    <xf numFmtId="164" fontId="32" fillId="14" borderId="36" xfId="11" applyNumberFormat="1" applyFont="1" applyFill="1" applyBorder="1" applyAlignment="1">
      <alignment horizontal="center" textRotation="90"/>
    </xf>
    <xf numFmtId="164" fontId="32" fillId="14" borderId="17" xfId="11" applyNumberFormat="1" applyFont="1" applyFill="1" applyBorder="1" applyAlignment="1">
      <alignment horizontal="center" textRotation="90"/>
    </xf>
    <xf numFmtId="164" fontId="32" fillId="14" borderId="39" xfId="11" applyNumberFormat="1" applyFont="1" applyFill="1" applyBorder="1" applyAlignment="1">
      <alignment horizontal="center" textRotation="90"/>
    </xf>
    <xf numFmtId="164" fontId="32" fillId="14" borderId="14" xfId="11" applyNumberFormat="1" applyFont="1" applyFill="1" applyBorder="1" applyAlignment="1">
      <alignment horizontal="center" textRotation="90"/>
    </xf>
    <xf numFmtId="164" fontId="32" fillId="14" borderId="22" xfId="11" applyNumberFormat="1" applyFont="1" applyFill="1" applyBorder="1" applyAlignment="1">
      <alignment horizontal="center" textRotation="90"/>
    </xf>
    <xf numFmtId="164" fontId="0" fillId="13" borderId="57" xfId="11" applyNumberFormat="1" applyFont="1" applyFill="1" applyBorder="1" applyAlignment="1">
      <alignment horizontal="center" textRotation="90" wrapText="1"/>
    </xf>
    <xf numFmtId="164" fontId="0" fillId="13" borderId="53" xfId="11" applyNumberFormat="1" applyFont="1" applyFill="1" applyBorder="1" applyAlignment="1">
      <alignment horizontal="center" textRotation="90" wrapText="1"/>
    </xf>
    <xf numFmtId="164" fontId="0" fillId="13" borderId="59" xfId="11" applyNumberFormat="1" applyFont="1" applyFill="1" applyBorder="1" applyAlignment="1">
      <alignment horizontal="center" textRotation="90" wrapText="1"/>
    </xf>
    <xf numFmtId="164" fontId="0" fillId="0" borderId="24" xfId="11" applyNumberFormat="1" applyFont="1" applyBorder="1" applyAlignment="1">
      <alignment horizontal="center"/>
    </xf>
    <xf numFmtId="164" fontId="0" fillId="0" borderId="25" xfId="11" applyNumberFormat="1" applyFont="1" applyBorder="1" applyAlignment="1">
      <alignment horizontal="center"/>
    </xf>
    <xf numFmtId="164" fontId="0" fillId="0" borderId="26" xfId="11" applyNumberFormat="1" applyFont="1" applyBorder="1" applyAlignment="1">
      <alignment horizontal="center"/>
    </xf>
    <xf numFmtId="164" fontId="0" fillId="13" borderId="14" xfId="11" applyNumberFormat="1" applyFont="1" applyFill="1" applyBorder="1" applyAlignment="1">
      <alignment horizontal="center" textRotation="90"/>
    </xf>
    <xf numFmtId="164" fontId="0" fillId="13" borderId="17" xfId="11" applyNumberFormat="1" applyFont="1" applyFill="1" applyBorder="1" applyAlignment="1">
      <alignment horizontal="center" textRotation="90"/>
    </xf>
    <xf numFmtId="164" fontId="0" fillId="13" borderId="22" xfId="11" applyNumberFormat="1" applyFont="1" applyFill="1" applyBorder="1" applyAlignment="1">
      <alignment horizontal="center" textRotation="90"/>
    </xf>
    <xf numFmtId="164" fontId="37" fillId="13" borderId="14" xfId="11" applyNumberFormat="1" applyFont="1" applyFill="1" applyBorder="1" applyAlignment="1">
      <alignment horizontal="center" textRotation="90"/>
    </xf>
    <xf numFmtId="164" fontId="37" fillId="13" borderId="17" xfId="11" applyNumberFormat="1" applyFont="1" applyFill="1" applyBorder="1" applyAlignment="1">
      <alignment horizontal="center" textRotation="90"/>
    </xf>
    <xf numFmtId="164" fontId="37" fillId="13" borderId="22" xfId="11" applyNumberFormat="1" applyFont="1" applyFill="1" applyBorder="1" applyAlignment="1">
      <alignment horizontal="center" textRotation="90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5" fontId="4" fillId="0" borderId="24" xfId="0" applyNumberFormat="1" applyFont="1" applyBorder="1" applyAlignment="1">
      <alignment horizontal="center"/>
    </xf>
    <xf numFmtId="165" fontId="4" fillId="0" borderId="26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" fillId="14" borderId="24" xfId="0" applyFont="1" applyFill="1" applyBorder="1" applyAlignment="1">
      <alignment horizontal="center"/>
    </xf>
    <xf numFmtId="0" fontId="2" fillId="14" borderId="25" xfId="0" applyFont="1" applyFill="1" applyBorder="1" applyAlignment="1">
      <alignment horizontal="center"/>
    </xf>
    <xf numFmtId="0" fontId="2" fillId="14" borderId="26" xfId="0" applyFont="1" applyFill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2" fillId="6" borderId="47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8" fillId="0" borderId="0" xfId="0" applyFont="1" applyAlignment="1">
      <alignment horizontal="center"/>
    </xf>
    <xf numFmtId="43" fontId="2" fillId="6" borderId="24" xfId="1" applyFont="1" applyFill="1" applyBorder="1" applyAlignment="1">
      <alignment horizontal="center"/>
    </xf>
    <xf numFmtId="43" fontId="2" fillId="6" borderId="25" xfId="1" applyFont="1" applyFill="1" applyBorder="1" applyAlignment="1">
      <alignment horizontal="center"/>
    </xf>
    <xf numFmtId="164" fontId="5" fillId="6" borderId="6" xfId="1" applyNumberFormat="1" applyFont="1" applyFill="1" applyBorder="1" applyAlignment="1">
      <alignment horizontal="center"/>
    </xf>
    <xf numFmtId="164" fontId="5" fillId="6" borderId="13" xfId="1" applyNumberFormat="1" applyFont="1" applyFill="1" applyBorder="1" applyAlignment="1">
      <alignment horizontal="center"/>
    </xf>
    <xf numFmtId="164" fontId="5" fillId="6" borderId="7" xfId="1" applyNumberFormat="1" applyFont="1" applyFill="1" applyBorder="1" applyAlignment="1">
      <alignment horizontal="center"/>
    </xf>
    <xf numFmtId="164" fontId="5" fillId="6" borderId="25" xfId="1" applyNumberFormat="1" applyFont="1" applyFill="1" applyBorder="1" applyAlignment="1">
      <alignment horizontal="center"/>
    </xf>
    <xf numFmtId="164" fontId="5" fillId="6" borderId="26" xfId="1" applyNumberFormat="1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2" fillId="14" borderId="42" xfId="0" applyFont="1" applyFill="1" applyBorder="1" applyAlignment="1">
      <alignment horizontal="center"/>
    </xf>
    <xf numFmtId="0" fontId="2" fillId="14" borderId="44" xfId="0" applyFont="1" applyFill="1" applyBorder="1" applyAlignment="1">
      <alignment horizontal="center"/>
    </xf>
    <xf numFmtId="0" fontId="2" fillId="14" borderId="47" xfId="0" applyFont="1" applyFill="1" applyBorder="1" applyAlignment="1">
      <alignment horizontal="center"/>
    </xf>
    <xf numFmtId="43" fontId="2" fillId="6" borderId="26" xfId="1" applyFont="1" applyFill="1" applyBorder="1" applyAlignment="1">
      <alignment horizontal="center"/>
    </xf>
    <xf numFmtId="164" fontId="5" fillId="6" borderId="24" xfId="1" applyNumberFormat="1" applyFont="1" applyFill="1" applyBorder="1" applyAlignment="1">
      <alignment horizontal="center"/>
    </xf>
    <xf numFmtId="164" fontId="30" fillId="0" borderId="14" xfId="1" applyNumberFormat="1" applyFont="1" applyBorder="1" applyAlignment="1">
      <alignment horizontal="center"/>
    </xf>
    <xf numFmtId="164" fontId="30" fillId="0" borderId="15" xfId="1" applyNumberFormat="1" applyFont="1" applyBorder="1" applyAlignment="1">
      <alignment horizontal="center"/>
    </xf>
    <xf numFmtId="164" fontId="30" fillId="0" borderId="16" xfId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12">
    <cellStyle name="Comma" xfId="1" builtinId="3"/>
    <cellStyle name="Comma 2" xfId="8" xr:uid="{00000000-0005-0000-0000-000001000000}"/>
    <cellStyle name="Comma 3" xfId="4" xr:uid="{00000000-0005-0000-0000-000002000000}"/>
    <cellStyle name="Comma 4" xfId="11" xr:uid="{00000000-0005-0000-0000-000003000000}"/>
    <cellStyle name="Currency" xfId="2" builtinId="4"/>
    <cellStyle name="Currency 2" xfId="10" xr:uid="{00000000-0005-0000-0000-000005000000}"/>
    <cellStyle name="Currency 3" xfId="9" xr:uid="{00000000-0005-0000-0000-000006000000}"/>
    <cellStyle name="Currency 4" xfId="5" xr:uid="{00000000-0005-0000-0000-000007000000}"/>
    <cellStyle name="Normal" xfId="0" builtinId="0"/>
    <cellStyle name="Percent" xfId="3" builtinId="5"/>
    <cellStyle name="Percent 2" xfId="7" xr:uid="{00000000-0005-0000-0000-00000A000000}"/>
    <cellStyle name="Percent 3" xfId="6" xr:uid="{00000000-0005-0000-0000-00000B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sh%20-%202021%20-%20Period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roLink\Downloads\Fish%20-%202021%20-%20Period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mrgct.com/Excel/Max%20Amore/Budgets/2009/Amore%20-%202009%20P11W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History &amp; Forecast"/>
      <sheetName val="Entry Sheet "/>
      <sheetName val="P&amp;L"/>
      <sheetName val="W1 Forecast"/>
      <sheetName val="W1 Cost &amp; Sales"/>
      <sheetName val="W2 Forecast"/>
      <sheetName val="W2 Cost &amp; Sales"/>
      <sheetName val="W2 P&amp;L"/>
      <sheetName val="W3 Forecast"/>
      <sheetName val="W3 Cost &amp; Sales "/>
      <sheetName val="W3 P&amp;L"/>
      <sheetName val="W4 Forecast "/>
      <sheetName val="W4 Cost &amp; Sales"/>
      <sheetName val="W4 P&amp;L"/>
      <sheetName val="Period Summary"/>
      <sheetName val="Period 8 Cash"/>
      <sheetName val="Sales Worksheet"/>
      <sheetName val="P&amp;L Summary"/>
    </sheetNames>
    <sheetDataSet>
      <sheetData sheetId="0">
        <row r="11">
          <cell r="AM11">
            <v>93600</v>
          </cell>
        </row>
      </sheetData>
      <sheetData sheetId="1" refreshError="1"/>
      <sheetData sheetId="2" refreshError="1"/>
      <sheetData sheetId="3" refreshError="1"/>
      <sheetData sheetId="4">
        <row r="11">
          <cell r="E11">
            <v>74692.639999999999</v>
          </cell>
        </row>
      </sheetData>
      <sheetData sheetId="5" refreshError="1"/>
      <sheetData sheetId="6">
        <row r="11">
          <cell r="E11">
            <v>49768.91</v>
          </cell>
        </row>
      </sheetData>
      <sheetData sheetId="7" refreshError="1"/>
      <sheetData sheetId="8" refreshError="1"/>
      <sheetData sheetId="9">
        <row r="11">
          <cell r="E11">
            <v>63560.97</v>
          </cell>
        </row>
      </sheetData>
      <sheetData sheetId="10" refreshError="1"/>
      <sheetData sheetId="11" refreshError="1"/>
      <sheetData sheetId="12">
        <row r="11">
          <cell r="E11">
            <v>54810.38</v>
          </cell>
        </row>
        <row r="12">
          <cell r="C12">
            <v>14819.19</v>
          </cell>
        </row>
        <row r="13">
          <cell r="C13">
            <v>2893.55</v>
          </cell>
        </row>
        <row r="14">
          <cell r="C14">
            <v>16628.16</v>
          </cell>
        </row>
        <row r="15">
          <cell r="C15">
            <v>1351.1</v>
          </cell>
        </row>
        <row r="19">
          <cell r="C19">
            <v>1586.22</v>
          </cell>
        </row>
        <row r="20">
          <cell r="C20">
            <v>2764.34</v>
          </cell>
        </row>
        <row r="21">
          <cell r="C21">
            <v>177.26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History &amp; Forecast"/>
      <sheetName val="Entry Sheet "/>
      <sheetName val="P&amp;L"/>
      <sheetName val="W1 Forecast"/>
      <sheetName val="W1 Cost &amp; Sales"/>
      <sheetName val="W2 Forecast"/>
      <sheetName val="W2 Cost &amp; Sales"/>
      <sheetName val="W2 P&amp;L"/>
      <sheetName val="W3 Forecast"/>
      <sheetName val="W3 Cost &amp; Sales "/>
      <sheetName val="W3 P&amp;L"/>
      <sheetName val="W4 Forecast "/>
      <sheetName val="W4 Cost &amp; Sales"/>
      <sheetName val="W4 P&amp;L"/>
      <sheetName val="Period Summary"/>
      <sheetName val="Period 8 Cash"/>
      <sheetName val="Sales Worksheet"/>
      <sheetName val="P&amp;L Summary"/>
    </sheetNames>
    <sheetDataSet>
      <sheetData sheetId="0">
        <row r="11">
          <cell r="AM11">
            <v>93600</v>
          </cell>
        </row>
      </sheetData>
      <sheetData sheetId="1"/>
      <sheetData sheetId="2"/>
      <sheetData sheetId="3"/>
      <sheetData sheetId="4">
        <row r="11">
          <cell r="E11">
            <v>74692.639999999999</v>
          </cell>
        </row>
      </sheetData>
      <sheetData sheetId="5"/>
      <sheetData sheetId="6">
        <row r="11">
          <cell r="E11">
            <v>49768.91</v>
          </cell>
        </row>
      </sheetData>
      <sheetData sheetId="7"/>
      <sheetData sheetId="8"/>
      <sheetData sheetId="9">
        <row r="11">
          <cell r="E11">
            <v>63560.97</v>
          </cell>
        </row>
      </sheetData>
      <sheetData sheetId="10"/>
      <sheetData sheetId="11"/>
      <sheetData sheetId="12">
        <row r="11">
          <cell r="E1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day"/>
      <sheetName val="Tuesday"/>
      <sheetName val="Wednesday"/>
      <sheetName val="Thursday"/>
      <sheetName val="Friday"/>
      <sheetName val="Saturday"/>
      <sheetName val="Sunday"/>
      <sheetName val="Calculators"/>
      <sheetName val="Budget &amp; Forecast"/>
      <sheetName val="Schedule Planner - New"/>
      <sheetName val="Schedule Planner - New (2)"/>
      <sheetName val="Schedule Planner"/>
      <sheetName val="Food - Purchasing Planner"/>
      <sheetName val="Liquor - Purchasing Planner"/>
      <sheetName val="Cost &amp; Labor Results"/>
      <sheetName val="Labor"/>
      <sheetName val="Sales &amp; Customer Counts"/>
      <sheetName val="Bonus Monitor"/>
      <sheetName val="Sheet5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40">
          <cell r="R40">
            <v>350.69440124806869</v>
          </cell>
        </row>
        <row r="41">
          <cell r="R41">
            <v>422.85637871826748</v>
          </cell>
        </row>
        <row r="42">
          <cell r="R42">
            <v>171.87518701457768</v>
          </cell>
        </row>
        <row r="43">
          <cell r="R43">
            <v>73.917426115363867</v>
          </cell>
        </row>
        <row r="44">
          <cell r="R44">
            <v>81.718958553283159</v>
          </cell>
        </row>
        <row r="45">
          <cell r="R45">
            <v>88.081977362304968</v>
          </cell>
        </row>
        <row r="46">
          <cell r="R46">
            <v>70.783443543790739</v>
          </cell>
        </row>
        <row r="47">
          <cell r="R47">
            <v>32.085123766349717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mail.mrgct.com/exchange/jthomas/Inbox/Max%20Restaurant%20Group/2010%20Budget/Restaurant%20Workbooks/Template.xls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24"/>
  <sheetViews>
    <sheetView topLeftCell="C1" zoomScaleNormal="100" workbookViewId="0">
      <pane ySplit="3" topLeftCell="A42" activePane="bottomLeft" state="frozen"/>
      <selection activeCell="C1" sqref="C1"/>
      <selection pane="bottomLeft" activeCell="AL62" sqref="AL62"/>
    </sheetView>
  </sheetViews>
  <sheetFormatPr defaultRowHeight="15"/>
  <cols>
    <col min="1" max="1" width="3" hidden="1" customWidth="1"/>
    <col min="2" max="2" width="2" hidden="1" customWidth="1"/>
    <col min="3" max="3" width="13.42578125" customWidth="1"/>
    <col min="4" max="5" width="9.140625" hidden="1" customWidth="1"/>
    <col min="6" max="6" width="10" hidden="1" customWidth="1"/>
    <col min="7" max="7" width="9.140625" hidden="1" customWidth="1"/>
    <col min="8" max="8" width="10.7109375" hidden="1" customWidth="1"/>
    <col min="9" max="9" width="9.140625" style="203" hidden="1" customWidth="1"/>
    <col min="10" max="10" width="12.28515625" hidden="1" customWidth="1"/>
    <col min="11" max="11" width="9.140625" style="318" hidden="1" customWidth="1"/>
    <col min="12" max="12" width="11.28515625" style="318" hidden="1" customWidth="1"/>
    <col min="13" max="13" width="9.140625" style="318" hidden="1" customWidth="1"/>
    <col min="14" max="14" width="10.7109375" style="318" hidden="1" customWidth="1"/>
    <col min="15" max="15" width="11.28515625" style="619" hidden="1" customWidth="1"/>
    <col min="16" max="16" width="10.42578125" style="416" hidden="1" customWidth="1"/>
    <col min="17" max="17" width="10.7109375" style="619" hidden="1" customWidth="1"/>
    <col min="18" max="18" width="10.7109375" style="318" hidden="1" customWidth="1"/>
    <col min="19" max="19" width="12" style="716" hidden="1" customWidth="1"/>
    <col min="20" max="20" width="11.28515625" style="318" hidden="1" customWidth="1"/>
    <col min="21" max="21" width="12" style="716" hidden="1" customWidth="1"/>
    <col min="22" max="22" width="10.7109375" style="318" hidden="1" customWidth="1"/>
    <col min="23" max="23" width="12" style="716" hidden="1" customWidth="1"/>
    <col min="24" max="24" width="10.7109375" style="318" bestFit="1" customWidth="1"/>
    <col min="25" max="25" width="12" style="716" bestFit="1" customWidth="1"/>
    <col min="26" max="26" width="10.7109375" style="318" bestFit="1" customWidth="1"/>
    <col min="27" max="27" width="12" style="716" bestFit="1" customWidth="1"/>
    <col min="28" max="28" width="10.7109375" style="318" bestFit="1" customWidth="1"/>
    <col min="29" max="29" width="12" style="716" bestFit="1" customWidth="1"/>
    <col min="30" max="30" width="9.140625" style="428"/>
    <col min="31" max="35" width="0" hidden="1" customWidth="1"/>
    <col min="36" max="36" width="12.42578125" style="426" customWidth="1"/>
    <col min="37" max="37" width="13.85546875" style="426" customWidth="1"/>
    <col min="38" max="38" width="10.85546875" customWidth="1"/>
    <col min="39" max="39" width="11.85546875" style="426" customWidth="1"/>
    <col min="40" max="40" width="10.140625" bestFit="1" customWidth="1"/>
  </cols>
  <sheetData>
    <row r="1" spans="1:42" ht="15.75" thickBot="1">
      <c r="N1" s="146"/>
      <c r="O1"/>
      <c r="P1"/>
      <c r="Q1"/>
      <c r="R1"/>
      <c r="S1"/>
      <c r="X1" s="142" t="s">
        <v>20</v>
      </c>
      <c r="Y1" s="871" t="s">
        <v>283</v>
      </c>
      <c r="Z1" s="872"/>
      <c r="AB1" s="716"/>
    </row>
    <row r="2" spans="1:42" ht="15.75" thickBot="1">
      <c r="D2" s="856">
        <v>2008</v>
      </c>
      <c r="E2" s="857"/>
      <c r="F2" s="856">
        <v>2009</v>
      </c>
      <c r="G2" s="857"/>
      <c r="H2" s="858">
        <v>2010</v>
      </c>
      <c r="I2" s="859"/>
      <c r="J2" s="858">
        <v>2011</v>
      </c>
      <c r="K2" s="859"/>
      <c r="L2" s="858">
        <v>2012</v>
      </c>
      <c r="M2" s="862"/>
      <c r="N2" s="860">
        <v>2013</v>
      </c>
      <c r="O2" s="861"/>
      <c r="P2" s="860">
        <v>2014</v>
      </c>
      <c r="Q2" s="861"/>
      <c r="R2" s="860">
        <v>2015</v>
      </c>
      <c r="S2" s="861"/>
      <c r="T2" s="860">
        <v>2016</v>
      </c>
      <c r="U2" s="861"/>
      <c r="V2" s="860">
        <v>2017</v>
      </c>
      <c r="W2" s="861"/>
      <c r="X2" s="860">
        <v>2018</v>
      </c>
      <c r="Y2" s="861"/>
      <c r="Z2" s="860">
        <v>2019</v>
      </c>
      <c r="AA2" s="861"/>
      <c r="AB2" s="860">
        <v>2020</v>
      </c>
      <c r="AC2" s="861"/>
      <c r="AE2" s="18">
        <v>2008</v>
      </c>
      <c r="AF2" s="18">
        <v>2009</v>
      </c>
      <c r="AG2" s="18">
        <v>2010</v>
      </c>
      <c r="AH2" s="18">
        <v>2011</v>
      </c>
      <c r="AI2" s="18">
        <v>2012</v>
      </c>
      <c r="AJ2" s="873">
        <v>2021</v>
      </c>
      <c r="AK2" s="874"/>
      <c r="AL2" s="874"/>
      <c r="AM2" s="875"/>
    </row>
    <row r="3" spans="1:42" ht="15.75" thickBot="1">
      <c r="D3" s="694">
        <v>39448</v>
      </c>
      <c r="E3" s="695">
        <v>5693.12</v>
      </c>
      <c r="F3" s="696"/>
      <c r="G3" s="154"/>
      <c r="H3" s="696"/>
      <c r="I3" s="154"/>
      <c r="J3" s="696"/>
      <c r="K3" s="681"/>
      <c r="L3" s="701">
        <v>40909</v>
      </c>
      <c r="M3" s="681">
        <v>5511.73</v>
      </c>
      <c r="N3" s="755" t="s">
        <v>285</v>
      </c>
      <c r="O3" s="756" t="s">
        <v>47</v>
      </c>
      <c r="P3" s="755" t="s">
        <v>285</v>
      </c>
      <c r="Q3" s="756" t="s">
        <v>47</v>
      </c>
      <c r="R3" s="755" t="s">
        <v>285</v>
      </c>
      <c r="S3" s="756" t="s">
        <v>47</v>
      </c>
      <c r="T3" s="755" t="s">
        <v>285</v>
      </c>
      <c r="U3" s="756" t="s">
        <v>47</v>
      </c>
      <c r="V3" s="755" t="s">
        <v>285</v>
      </c>
      <c r="W3" s="756" t="s">
        <v>47</v>
      </c>
      <c r="X3" s="755" t="s">
        <v>285</v>
      </c>
      <c r="Y3" s="756" t="s">
        <v>47</v>
      </c>
      <c r="Z3" s="755" t="s">
        <v>285</v>
      </c>
      <c r="AA3" s="756" t="s">
        <v>47</v>
      </c>
      <c r="AB3" s="755" t="s">
        <v>285</v>
      </c>
      <c r="AC3" s="756" t="s">
        <v>47</v>
      </c>
      <c r="AE3" s="18"/>
      <c r="AF3" s="18"/>
      <c r="AG3" s="18"/>
      <c r="AH3" s="18"/>
      <c r="AI3" s="18"/>
      <c r="AJ3" s="320" t="s">
        <v>91</v>
      </c>
      <c r="AK3" s="321" t="s">
        <v>92</v>
      </c>
      <c r="AL3" s="321" t="s">
        <v>102</v>
      </c>
      <c r="AM3" s="322" t="s">
        <v>2</v>
      </c>
    </row>
    <row r="4" spans="1:42" ht="15.75" hidden="1" thickBot="1">
      <c r="A4" s="5">
        <v>1</v>
      </c>
      <c r="B4" s="16">
        <v>1</v>
      </c>
      <c r="C4" s="630" t="s">
        <v>103</v>
      </c>
      <c r="D4" s="702"/>
      <c r="E4" s="695"/>
      <c r="F4" s="703"/>
      <c r="G4" s="704"/>
      <c r="H4" s="703"/>
      <c r="I4" s="704"/>
      <c r="J4" s="703"/>
      <c r="K4" s="706"/>
      <c r="L4" s="683">
        <v>40910</v>
      </c>
      <c r="M4" s="706">
        <v>0</v>
      </c>
      <c r="N4" s="618"/>
      <c r="O4" s="764"/>
      <c r="P4" s="634"/>
      <c r="Q4" s="766"/>
      <c r="R4" s="635"/>
      <c r="S4" s="717"/>
      <c r="T4" s="635">
        <v>42373</v>
      </c>
      <c r="U4" s="717">
        <v>5651.42</v>
      </c>
      <c r="V4" s="635">
        <v>42737</v>
      </c>
      <c r="W4" s="717">
        <v>10088.200000000001</v>
      </c>
      <c r="X4" s="635">
        <v>43101</v>
      </c>
      <c r="Y4" s="717">
        <v>11567.4</v>
      </c>
      <c r="Z4" s="635">
        <v>43465</v>
      </c>
      <c r="AA4" s="717">
        <v>32465.69</v>
      </c>
      <c r="AB4" s="635">
        <v>43829</v>
      </c>
      <c r="AC4" s="717">
        <v>12990.51</v>
      </c>
      <c r="AD4" s="868" t="s">
        <v>110</v>
      </c>
      <c r="AJ4" s="751"/>
      <c r="AK4" s="752"/>
      <c r="AL4" s="752"/>
      <c r="AM4" s="762">
        <f t="shared" ref="AM4:AM10" si="0">SUM(AJ4:AL4)</f>
        <v>0</v>
      </c>
      <c r="AN4" s="197">
        <v>44193</v>
      </c>
    </row>
    <row r="5" spans="1:42" hidden="1">
      <c r="A5" s="7">
        <v>1</v>
      </c>
      <c r="B5">
        <v>1</v>
      </c>
      <c r="C5" s="631" t="s">
        <v>104</v>
      </c>
      <c r="D5" s="705"/>
      <c r="E5" s="695"/>
      <c r="F5" s="703"/>
      <c r="G5" s="704"/>
      <c r="H5" s="703"/>
      <c r="I5" s="704"/>
      <c r="J5" s="703"/>
      <c r="K5" s="706"/>
      <c r="L5" s="683">
        <v>40911</v>
      </c>
      <c r="M5" s="706">
        <v>7003.65</v>
      </c>
      <c r="N5" s="682">
        <v>41275</v>
      </c>
      <c r="O5" s="685">
        <v>8464.11</v>
      </c>
      <c r="P5" s="689"/>
      <c r="Q5" s="685"/>
      <c r="R5" s="689"/>
      <c r="S5" s="718"/>
      <c r="T5" s="689">
        <f>T4+1</f>
        <v>42374</v>
      </c>
      <c r="U5" s="718">
        <v>10079.85</v>
      </c>
      <c r="V5" s="689">
        <f>V4+1</f>
        <v>42738</v>
      </c>
      <c r="W5" s="718">
        <v>5563.45</v>
      </c>
      <c r="X5" s="689">
        <f>X4+1</f>
        <v>43102</v>
      </c>
      <c r="Y5" s="718">
        <v>4124.3</v>
      </c>
      <c r="Z5" s="689">
        <f>Z4+1</f>
        <v>43466</v>
      </c>
      <c r="AA5" s="718">
        <v>11557.79</v>
      </c>
      <c r="AB5" s="689">
        <f>AB4+1</f>
        <v>43830</v>
      </c>
      <c r="AC5" s="718">
        <v>36905.69</v>
      </c>
      <c r="AD5" s="869"/>
      <c r="AJ5" s="751"/>
      <c r="AK5" s="752"/>
      <c r="AL5" s="753"/>
      <c r="AM5" s="762">
        <f t="shared" si="0"/>
        <v>0</v>
      </c>
      <c r="AN5" s="197">
        <f t="shared" ref="AN5:AN10" si="1">AN4+1</f>
        <v>44194</v>
      </c>
    </row>
    <row r="6" spans="1:42" hidden="1">
      <c r="A6" s="7">
        <v>1</v>
      </c>
      <c r="B6">
        <v>1</v>
      </c>
      <c r="C6" s="631" t="s">
        <v>105</v>
      </c>
      <c r="D6" s="697">
        <v>39449</v>
      </c>
      <c r="E6" s="695">
        <v>10073.209999999999</v>
      </c>
      <c r="F6" s="698"/>
      <c r="G6" s="156"/>
      <c r="H6" s="698"/>
      <c r="I6" s="156"/>
      <c r="J6" s="698"/>
      <c r="K6" s="679"/>
      <c r="L6" s="683">
        <v>40912</v>
      </c>
      <c r="M6" s="679">
        <v>9987.76</v>
      </c>
      <c r="N6" s="683">
        <v>41276</v>
      </c>
      <c r="O6" s="685">
        <v>0</v>
      </c>
      <c r="P6" s="689">
        <v>41640</v>
      </c>
      <c r="Q6" s="685">
        <v>7390.7</v>
      </c>
      <c r="R6" s="689"/>
      <c r="S6" s="719"/>
      <c r="T6" s="689">
        <f t="shared" ref="T6:V10" si="2">T5+1</f>
        <v>42375</v>
      </c>
      <c r="U6" s="719">
        <v>9226.7000000000007</v>
      </c>
      <c r="V6" s="689">
        <f t="shared" si="2"/>
        <v>42739</v>
      </c>
      <c r="W6" s="719">
        <v>9505.85</v>
      </c>
      <c r="X6" s="689">
        <f t="shared" ref="X6:Z6" si="3">X5+1</f>
        <v>43103</v>
      </c>
      <c r="Y6" s="719">
        <v>9651.3799999999992</v>
      </c>
      <c r="Z6" s="689">
        <f t="shared" si="3"/>
        <v>43467</v>
      </c>
      <c r="AA6" s="719">
        <v>5687.59</v>
      </c>
      <c r="AB6" s="689">
        <f t="shared" ref="AB6" si="4">AB5+1</f>
        <v>43831</v>
      </c>
      <c r="AC6" s="719">
        <v>13912.13</v>
      </c>
      <c r="AD6" s="869"/>
      <c r="AJ6" s="751"/>
      <c r="AK6" s="752"/>
      <c r="AL6" s="753"/>
      <c r="AM6" s="762">
        <f t="shared" si="0"/>
        <v>0</v>
      </c>
      <c r="AN6" s="197">
        <f t="shared" si="1"/>
        <v>44195</v>
      </c>
    </row>
    <row r="7" spans="1:42" hidden="1">
      <c r="A7" s="7">
        <v>1</v>
      </c>
      <c r="B7">
        <v>1</v>
      </c>
      <c r="C7" s="631" t="s">
        <v>106</v>
      </c>
      <c r="D7" s="697">
        <v>39450</v>
      </c>
      <c r="E7" s="695">
        <v>12531.36</v>
      </c>
      <c r="F7" s="697">
        <v>39814</v>
      </c>
      <c r="G7" s="695">
        <v>7220.45</v>
      </c>
      <c r="H7" s="698"/>
      <c r="I7" s="156"/>
      <c r="J7" s="698"/>
      <c r="K7" s="679"/>
      <c r="L7" s="683">
        <v>40913</v>
      </c>
      <c r="M7" s="679">
        <v>12728.54</v>
      </c>
      <c r="N7" s="683">
        <v>41277</v>
      </c>
      <c r="O7" s="685">
        <v>10154</v>
      </c>
      <c r="P7" s="689">
        <v>41641</v>
      </c>
      <c r="Q7" s="685">
        <v>2143.4</v>
      </c>
      <c r="R7" s="689">
        <v>42005</v>
      </c>
      <c r="S7" s="719">
        <v>14234.35</v>
      </c>
      <c r="T7" s="689">
        <f t="shared" si="2"/>
        <v>42376</v>
      </c>
      <c r="U7" s="719">
        <v>12509.95</v>
      </c>
      <c r="V7" s="689">
        <f t="shared" si="2"/>
        <v>42740</v>
      </c>
      <c r="W7" s="719">
        <v>11419.95</v>
      </c>
      <c r="X7" s="689">
        <f t="shared" ref="X7:Z7" si="5">X6+1</f>
        <v>43104</v>
      </c>
      <c r="Y7" s="719"/>
      <c r="Z7" s="689">
        <f t="shared" si="5"/>
        <v>43468</v>
      </c>
      <c r="AA7" s="719">
        <v>12277.84</v>
      </c>
      <c r="AB7" s="689">
        <f t="shared" ref="AB7" si="6">AB6+1</f>
        <v>43832</v>
      </c>
      <c r="AC7" s="719">
        <v>10450.99</v>
      </c>
      <c r="AD7" s="869"/>
      <c r="AJ7" s="751"/>
      <c r="AK7" s="752"/>
      <c r="AL7" s="753"/>
      <c r="AM7" s="762">
        <f t="shared" si="0"/>
        <v>0</v>
      </c>
      <c r="AN7" s="197">
        <f t="shared" si="1"/>
        <v>44196</v>
      </c>
    </row>
    <row r="8" spans="1:42" hidden="1">
      <c r="A8" s="7">
        <v>1</v>
      </c>
      <c r="B8">
        <v>1</v>
      </c>
      <c r="C8" s="631" t="s">
        <v>107</v>
      </c>
      <c r="D8" s="697">
        <v>39451</v>
      </c>
      <c r="E8" s="695">
        <v>21861.64</v>
      </c>
      <c r="F8" s="697">
        <v>39815</v>
      </c>
      <c r="G8" s="695">
        <v>16384.150000000001</v>
      </c>
      <c r="H8" s="697">
        <v>40179</v>
      </c>
      <c r="I8" s="695">
        <v>7485.58</v>
      </c>
      <c r="J8" s="698"/>
      <c r="K8" s="679"/>
      <c r="L8" s="683">
        <v>40914</v>
      </c>
      <c r="M8" s="679">
        <v>20168.53</v>
      </c>
      <c r="N8" s="683">
        <v>41278</v>
      </c>
      <c r="O8" s="685">
        <v>16522.650000000001</v>
      </c>
      <c r="P8" s="689">
        <v>41642</v>
      </c>
      <c r="Q8" s="685">
        <v>7563.3</v>
      </c>
      <c r="R8" s="689">
        <v>42006</v>
      </c>
      <c r="S8" s="719">
        <v>20136.509999999998</v>
      </c>
      <c r="T8" s="689">
        <f t="shared" si="2"/>
        <v>42377</v>
      </c>
      <c r="U8" s="719">
        <v>22250.86</v>
      </c>
      <c r="V8" s="689">
        <f t="shared" si="2"/>
        <v>42741</v>
      </c>
      <c r="W8" s="719">
        <v>20104.509999999998</v>
      </c>
      <c r="X8" s="689">
        <f t="shared" ref="X8:Z8" si="7">X7+1</f>
        <v>43105</v>
      </c>
      <c r="Y8" s="719">
        <v>16732.400000000001</v>
      </c>
      <c r="Z8" s="689">
        <f t="shared" si="7"/>
        <v>43469</v>
      </c>
      <c r="AA8" s="719">
        <v>19600.18</v>
      </c>
      <c r="AB8" s="689">
        <f t="shared" ref="AB8" si="8">AB7+1</f>
        <v>43833</v>
      </c>
      <c r="AC8" s="719">
        <v>18854.84</v>
      </c>
      <c r="AD8" s="869"/>
      <c r="AJ8" s="751"/>
      <c r="AK8" s="752"/>
      <c r="AL8" s="753"/>
      <c r="AM8" s="762">
        <f t="shared" si="0"/>
        <v>0</v>
      </c>
      <c r="AN8" s="197">
        <f t="shared" si="1"/>
        <v>44197</v>
      </c>
    </row>
    <row r="9" spans="1:42" hidden="1">
      <c r="A9" s="7">
        <v>1</v>
      </c>
      <c r="B9">
        <v>1</v>
      </c>
      <c r="C9" s="631" t="s">
        <v>108</v>
      </c>
      <c r="D9" s="697">
        <v>39452</v>
      </c>
      <c r="E9" s="695">
        <v>26488.34</v>
      </c>
      <c r="F9" s="697">
        <v>39816</v>
      </c>
      <c r="G9" s="695">
        <v>17131.36</v>
      </c>
      <c r="H9" s="697">
        <v>40180</v>
      </c>
      <c r="I9" s="695">
        <v>14777.71</v>
      </c>
      <c r="J9" s="683">
        <v>40544</v>
      </c>
      <c r="K9" s="695">
        <v>8280</v>
      </c>
      <c r="L9" s="683">
        <v>40915</v>
      </c>
      <c r="M9" s="707">
        <v>25164.93</v>
      </c>
      <c r="N9" s="683">
        <v>41279</v>
      </c>
      <c r="O9" s="686">
        <v>19955.650000000001</v>
      </c>
      <c r="P9" s="689">
        <v>41643</v>
      </c>
      <c r="Q9" s="686">
        <v>17423.8</v>
      </c>
      <c r="R9" s="689">
        <v>42007</v>
      </c>
      <c r="S9" s="719">
        <v>11952.58</v>
      </c>
      <c r="T9" s="689">
        <f t="shared" si="2"/>
        <v>42378</v>
      </c>
      <c r="U9" s="719">
        <v>23634.66</v>
      </c>
      <c r="V9" s="689">
        <f t="shared" si="2"/>
        <v>42742</v>
      </c>
      <c r="W9" s="719">
        <v>6172.9</v>
      </c>
      <c r="X9" s="689">
        <f t="shared" ref="X9:Z9" si="9">X8+1</f>
        <v>43106</v>
      </c>
      <c r="Y9" s="719">
        <v>23436.69</v>
      </c>
      <c r="Z9" s="689">
        <f t="shared" si="9"/>
        <v>43470</v>
      </c>
      <c r="AA9" s="719">
        <v>23422.83</v>
      </c>
      <c r="AB9" s="689">
        <f t="shared" ref="AB9" si="10">AB8+1</f>
        <v>43834</v>
      </c>
      <c r="AC9" s="719">
        <v>22467.14</v>
      </c>
      <c r="AD9" s="869"/>
      <c r="AJ9" s="751"/>
      <c r="AK9" s="752"/>
      <c r="AL9" s="753"/>
      <c r="AM9" s="762">
        <f t="shared" si="0"/>
        <v>0</v>
      </c>
      <c r="AN9" s="197">
        <f t="shared" si="1"/>
        <v>44198</v>
      </c>
    </row>
    <row r="10" spans="1:42" ht="15.75" hidden="1" thickBot="1">
      <c r="A10" s="12">
        <v>1</v>
      </c>
      <c r="B10" s="14">
        <v>1</v>
      </c>
      <c r="C10" s="631" t="s">
        <v>109</v>
      </c>
      <c r="D10" s="699">
        <v>39453</v>
      </c>
      <c r="E10" s="695">
        <v>8842.68</v>
      </c>
      <c r="F10" s="699">
        <v>39817</v>
      </c>
      <c r="G10" s="695">
        <v>4558.74</v>
      </c>
      <c r="H10" s="699">
        <v>40181</v>
      </c>
      <c r="I10" s="695">
        <v>1952.36</v>
      </c>
      <c r="J10" s="700">
        <v>40545</v>
      </c>
      <c r="K10" s="695">
        <v>3941.35</v>
      </c>
      <c r="L10" s="683">
        <v>40916</v>
      </c>
      <c r="M10" s="707">
        <v>6039.23</v>
      </c>
      <c r="N10" s="683">
        <v>41280</v>
      </c>
      <c r="O10" s="686">
        <v>5996.6</v>
      </c>
      <c r="P10" s="689">
        <v>41644</v>
      </c>
      <c r="Q10" s="686">
        <v>6615.95</v>
      </c>
      <c r="R10" s="639">
        <v>42008</v>
      </c>
      <c r="S10" s="720">
        <v>11291.5</v>
      </c>
      <c r="T10" s="689">
        <f t="shared" si="2"/>
        <v>42379</v>
      </c>
      <c r="U10" s="720">
        <v>8298.7000000000007</v>
      </c>
      <c r="V10" s="689">
        <f t="shared" si="2"/>
        <v>42743</v>
      </c>
      <c r="W10" s="720">
        <v>9964.9500000000007</v>
      </c>
      <c r="X10" s="689">
        <f t="shared" ref="X10:Z10" si="11">X9+1</f>
        <v>43107</v>
      </c>
      <c r="Y10" s="720">
        <v>10075.59</v>
      </c>
      <c r="Z10" s="689">
        <f t="shared" si="11"/>
        <v>43471</v>
      </c>
      <c r="AA10" s="720">
        <v>10960.28</v>
      </c>
      <c r="AB10" s="689">
        <f t="shared" ref="AB10" si="12">AB9+1</f>
        <v>43835</v>
      </c>
      <c r="AC10" s="720">
        <v>16362.17</v>
      </c>
      <c r="AD10" s="870"/>
      <c r="AE10" s="203">
        <f>SUM(E4:E10)</f>
        <v>79797.23000000001</v>
      </c>
      <c r="AF10" s="203">
        <f>SUM(G4:G10)</f>
        <v>45294.700000000004</v>
      </c>
      <c r="AG10" s="203">
        <f>SUM(I4:I10)</f>
        <v>24215.65</v>
      </c>
      <c r="AH10" s="203">
        <f>SUM(K4:K10)</f>
        <v>12221.35</v>
      </c>
      <c r="AI10" s="203">
        <f>SUM(M4:M10)</f>
        <v>81092.639999999999</v>
      </c>
      <c r="AJ10" s="751"/>
      <c r="AK10" s="752"/>
      <c r="AL10" s="754"/>
      <c r="AM10" s="762">
        <f t="shared" si="0"/>
        <v>0</v>
      </c>
      <c r="AN10" s="197">
        <f t="shared" si="1"/>
        <v>44199</v>
      </c>
    </row>
    <row r="11" spans="1:42" s="428" customFormat="1" ht="15.75" hidden="1" thickBot="1">
      <c r="A11" s="486"/>
      <c r="C11" s="809" t="s">
        <v>282</v>
      </c>
      <c r="D11" s="838"/>
      <c r="E11" s="811"/>
      <c r="F11" s="810"/>
      <c r="G11" s="811"/>
      <c r="H11" s="810"/>
      <c r="I11" s="811"/>
      <c r="J11" s="812"/>
      <c r="K11" s="813"/>
      <c r="L11" s="812"/>
      <c r="M11" s="813"/>
      <c r="N11" s="812"/>
      <c r="O11" s="814">
        <f>SUM(O5:O10)</f>
        <v>61093.01</v>
      </c>
      <c r="P11" s="812"/>
      <c r="Q11" s="814">
        <f>SUM(Q6:Q10)</f>
        <v>41137.149999999994</v>
      </c>
      <c r="R11" s="815"/>
      <c r="S11" s="816">
        <f>SUM(S4:S10)</f>
        <v>57614.94</v>
      </c>
      <c r="T11" s="815"/>
      <c r="U11" s="816">
        <f>SUM(U4:U10)</f>
        <v>91652.14</v>
      </c>
      <c r="V11" s="815"/>
      <c r="W11" s="816">
        <f>SUM(W4:W10)</f>
        <v>72819.81</v>
      </c>
      <c r="X11" s="815"/>
      <c r="Y11" s="816">
        <f>SUM(Y4:Y10)</f>
        <v>75587.759999999995</v>
      </c>
      <c r="Z11" s="815"/>
      <c r="AA11" s="816">
        <f>SUM(AA4:AA10)</f>
        <v>115972.2</v>
      </c>
      <c r="AB11" s="815"/>
      <c r="AC11" s="816">
        <f>SUM(AC4:AC10)</f>
        <v>131943.47</v>
      </c>
      <c r="AD11" s="757"/>
      <c r="AE11" s="822"/>
      <c r="AF11" s="822"/>
      <c r="AG11" s="822"/>
      <c r="AH11" s="822"/>
      <c r="AI11" s="822"/>
      <c r="AJ11" s="820">
        <f>SUM(AJ4:AJ10)</f>
        <v>0</v>
      </c>
      <c r="AK11" s="823">
        <f>SUM(AK4:AK10)</f>
        <v>0</v>
      </c>
      <c r="AL11" s="823">
        <f>SUM(AL4:AL10)</f>
        <v>0</v>
      </c>
      <c r="AM11" s="821">
        <f>SUM(AM4:AM10)</f>
        <v>0</v>
      </c>
    </row>
    <row r="12" spans="1:42" hidden="1">
      <c r="A12" s="5">
        <v>1</v>
      </c>
      <c r="B12" s="16">
        <v>2</v>
      </c>
      <c r="C12" s="7" t="s">
        <v>103</v>
      </c>
      <c r="D12" s="694">
        <v>39454</v>
      </c>
      <c r="E12" s="695">
        <v>10711.85</v>
      </c>
      <c r="F12" s="694">
        <v>39818</v>
      </c>
      <c r="G12" s="695">
        <v>4309.74</v>
      </c>
      <c r="H12" s="694">
        <v>40182</v>
      </c>
      <c r="I12" s="695">
        <v>5280.54</v>
      </c>
      <c r="J12" s="701">
        <v>40546</v>
      </c>
      <c r="K12" s="695">
        <v>5174.3999999999996</v>
      </c>
      <c r="L12" s="683">
        <v>40917</v>
      </c>
      <c r="M12" s="707">
        <v>7019.49</v>
      </c>
      <c r="N12" s="683">
        <v>41281</v>
      </c>
      <c r="O12" s="686">
        <v>7978.35</v>
      </c>
      <c r="P12" s="689">
        <v>41645</v>
      </c>
      <c r="Q12" s="686">
        <v>7008.8</v>
      </c>
      <c r="R12" s="638">
        <v>42009</v>
      </c>
      <c r="S12" s="718">
        <v>4849.43</v>
      </c>
      <c r="T12" s="638">
        <f>T10+1</f>
        <v>42380</v>
      </c>
      <c r="U12" s="718">
        <v>11206.75</v>
      </c>
      <c r="V12" s="638">
        <f>V10+1</f>
        <v>42744</v>
      </c>
      <c r="W12" s="717">
        <v>9260.01</v>
      </c>
      <c r="X12" s="638">
        <f>X10+1</f>
        <v>43108</v>
      </c>
      <c r="Y12" s="717">
        <v>9547.75</v>
      </c>
      <c r="Z12" s="638">
        <f>Z10+1</f>
        <v>43472</v>
      </c>
      <c r="AA12" s="717">
        <v>6466.33</v>
      </c>
      <c r="AB12" s="638">
        <f>AB10+1</f>
        <v>43836</v>
      </c>
      <c r="AC12" s="717">
        <v>6593.86</v>
      </c>
      <c r="AD12" s="867" t="s">
        <v>111</v>
      </c>
      <c r="AJ12" s="751"/>
      <c r="AK12" s="752"/>
      <c r="AL12" s="752"/>
      <c r="AM12" s="762">
        <f t="shared" ref="AM12:AM18" si="13">SUM(AJ12:AL12)</f>
        <v>0</v>
      </c>
      <c r="AN12" s="197">
        <f>AN10+1</f>
        <v>44200</v>
      </c>
      <c r="AP12" s="654"/>
    </row>
    <row r="13" spans="1:42" hidden="1">
      <c r="A13" s="7">
        <v>1</v>
      </c>
      <c r="B13">
        <v>2</v>
      </c>
      <c r="C13" s="7" t="s">
        <v>104</v>
      </c>
      <c r="D13" s="697">
        <v>39455</v>
      </c>
      <c r="E13" s="695">
        <v>15447.14</v>
      </c>
      <c r="F13" s="697">
        <v>39819</v>
      </c>
      <c r="G13" s="695">
        <v>7638.31</v>
      </c>
      <c r="H13" s="697">
        <v>40183</v>
      </c>
      <c r="I13" s="695">
        <v>7468.71</v>
      </c>
      <c r="J13" s="683">
        <v>40547</v>
      </c>
      <c r="K13" s="695">
        <v>6618.28</v>
      </c>
      <c r="L13" s="683">
        <v>40918</v>
      </c>
      <c r="M13" s="707">
        <v>13791.29</v>
      </c>
      <c r="N13" s="683">
        <v>41282</v>
      </c>
      <c r="O13" s="686">
        <v>10339.66</v>
      </c>
      <c r="P13" s="689">
        <v>41646</v>
      </c>
      <c r="Q13" s="686">
        <v>6514.75</v>
      </c>
      <c r="R13" s="689">
        <v>42010</v>
      </c>
      <c r="S13" s="719">
        <v>7947.35</v>
      </c>
      <c r="T13" s="689">
        <f>T12+1</f>
        <v>42381</v>
      </c>
      <c r="U13" s="719">
        <v>8354.15</v>
      </c>
      <c r="V13" s="689">
        <f>V12+1</f>
        <v>42745</v>
      </c>
      <c r="W13" s="718">
        <v>10522.1</v>
      </c>
      <c r="X13" s="689">
        <f>X12+1</f>
        <v>43109</v>
      </c>
      <c r="Y13" s="718">
        <v>11411</v>
      </c>
      <c r="Z13" s="689">
        <f>Z12+1</f>
        <v>43473</v>
      </c>
      <c r="AA13" s="718">
        <v>10248.57</v>
      </c>
      <c r="AB13" s="689">
        <f>AB12+1</f>
        <v>43837</v>
      </c>
      <c r="AC13" s="718">
        <v>11187.49</v>
      </c>
      <c r="AD13" s="864"/>
      <c r="AJ13" s="751"/>
      <c r="AK13" s="752"/>
      <c r="AL13" s="753"/>
      <c r="AM13" s="762">
        <f t="shared" si="13"/>
        <v>0</v>
      </c>
      <c r="AN13" s="197">
        <f t="shared" ref="AN13:AN18" si="14">AN12+1</f>
        <v>44201</v>
      </c>
      <c r="AP13" s="654"/>
    </row>
    <row r="14" spans="1:42" hidden="1">
      <c r="A14" s="7">
        <v>1</v>
      </c>
      <c r="B14">
        <v>2</v>
      </c>
      <c r="C14" s="7" t="s">
        <v>105</v>
      </c>
      <c r="D14" s="697">
        <v>39456</v>
      </c>
      <c r="E14" s="695">
        <v>18298.13</v>
      </c>
      <c r="F14" s="697">
        <v>39820</v>
      </c>
      <c r="G14" s="695">
        <v>8754.64</v>
      </c>
      <c r="H14" s="697">
        <v>40184</v>
      </c>
      <c r="I14" s="695">
        <v>7557.39</v>
      </c>
      <c r="J14" s="683">
        <v>40548</v>
      </c>
      <c r="K14" s="695">
        <v>9622.66</v>
      </c>
      <c r="L14" s="683">
        <v>40919</v>
      </c>
      <c r="M14" s="707">
        <v>19300.38</v>
      </c>
      <c r="N14" s="683">
        <v>41283</v>
      </c>
      <c r="O14" s="686">
        <v>11427.95</v>
      </c>
      <c r="P14" s="689">
        <v>41647</v>
      </c>
      <c r="Q14" s="686">
        <v>13463.9</v>
      </c>
      <c r="R14" s="689">
        <v>42011</v>
      </c>
      <c r="S14" s="719">
        <v>8792.74</v>
      </c>
      <c r="T14" s="689">
        <f t="shared" ref="T14:V18" si="15">T13+1</f>
        <v>42382</v>
      </c>
      <c r="U14" s="719">
        <v>19618.259999999998</v>
      </c>
      <c r="V14" s="689">
        <f t="shared" si="15"/>
        <v>42746</v>
      </c>
      <c r="W14" s="719">
        <v>10916.4</v>
      </c>
      <c r="X14" s="689">
        <f t="shared" ref="X14:Z14" si="16">X13+1</f>
        <v>43110</v>
      </c>
      <c r="Y14" s="719">
        <v>17043.25</v>
      </c>
      <c r="Z14" s="689">
        <f t="shared" si="16"/>
        <v>43474</v>
      </c>
      <c r="AA14" s="719">
        <v>14047.11</v>
      </c>
      <c r="AB14" s="689">
        <f t="shared" ref="AB14" si="17">AB13+1</f>
        <v>43838</v>
      </c>
      <c r="AC14" s="719">
        <v>11534.3</v>
      </c>
      <c r="AD14" s="864"/>
      <c r="AJ14" s="751"/>
      <c r="AK14" s="752"/>
      <c r="AL14" s="753"/>
      <c r="AM14" s="762">
        <f t="shared" si="13"/>
        <v>0</v>
      </c>
      <c r="AN14" s="197">
        <f t="shared" si="14"/>
        <v>44202</v>
      </c>
    </row>
    <row r="15" spans="1:42" hidden="1">
      <c r="A15" s="7">
        <v>1</v>
      </c>
      <c r="B15">
        <v>2</v>
      </c>
      <c r="C15" s="7" t="s">
        <v>106</v>
      </c>
      <c r="D15" s="697">
        <v>39457</v>
      </c>
      <c r="E15" s="695">
        <v>18604.310000000001</v>
      </c>
      <c r="F15" s="697">
        <v>39821</v>
      </c>
      <c r="G15" s="695">
        <v>11225.2</v>
      </c>
      <c r="H15" s="697">
        <v>40185</v>
      </c>
      <c r="I15" s="695">
        <v>10529.43</v>
      </c>
      <c r="J15" s="683">
        <v>40549</v>
      </c>
      <c r="K15" s="695">
        <v>10785.9</v>
      </c>
      <c r="L15" s="683">
        <v>40920</v>
      </c>
      <c r="M15" s="707">
        <v>15003.1</v>
      </c>
      <c r="N15" s="683">
        <v>41284</v>
      </c>
      <c r="O15" s="686">
        <v>11441.06</v>
      </c>
      <c r="P15" s="689">
        <v>41648</v>
      </c>
      <c r="Q15" s="686">
        <v>13583.11</v>
      </c>
      <c r="R15" s="689">
        <v>42012</v>
      </c>
      <c r="S15" s="719">
        <v>12166.85</v>
      </c>
      <c r="T15" s="689">
        <f t="shared" si="15"/>
        <v>42383</v>
      </c>
      <c r="U15" s="719">
        <v>14986.4</v>
      </c>
      <c r="V15" s="689">
        <f t="shared" si="15"/>
        <v>42747</v>
      </c>
      <c r="W15" s="719">
        <v>14735.8</v>
      </c>
      <c r="X15" s="689">
        <f t="shared" ref="X15:Z15" si="18">X14+1</f>
        <v>43111</v>
      </c>
      <c r="Y15" s="719">
        <v>12067.32</v>
      </c>
      <c r="Z15" s="689">
        <f t="shared" si="18"/>
        <v>43475</v>
      </c>
      <c r="AA15" s="719">
        <v>16845.95</v>
      </c>
      <c r="AB15" s="689">
        <f t="shared" ref="AB15" si="19">AB14+1</f>
        <v>43839</v>
      </c>
      <c r="AC15" s="719">
        <v>11856.35</v>
      </c>
      <c r="AD15" s="864"/>
      <c r="AJ15" s="751"/>
      <c r="AK15" s="752"/>
      <c r="AL15" s="753"/>
      <c r="AM15" s="762">
        <f t="shared" si="13"/>
        <v>0</v>
      </c>
      <c r="AN15" s="197">
        <f t="shared" si="14"/>
        <v>44203</v>
      </c>
    </row>
    <row r="16" spans="1:42" hidden="1">
      <c r="A16" s="7">
        <v>1</v>
      </c>
      <c r="B16">
        <v>2</v>
      </c>
      <c r="C16" s="7" t="s">
        <v>107</v>
      </c>
      <c r="D16" s="697">
        <v>39458</v>
      </c>
      <c r="E16" s="695">
        <v>25226.77</v>
      </c>
      <c r="F16" s="697">
        <v>39822</v>
      </c>
      <c r="G16" s="695">
        <v>19096.39</v>
      </c>
      <c r="H16" s="697">
        <v>40186</v>
      </c>
      <c r="I16" s="695">
        <v>17109.18</v>
      </c>
      <c r="J16" s="683">
        <v>40550</v>
      </c>
      <c r="K16" s="695">
        <v>12166.33</v>
      </c>
      <c r="L16" s="683">
        <v>40921</v>
      </c>
      <c r="M16" s="707">
        <v>25135.84</v>
      </c>
      <c r="N16" s="683">
        <v>41285</v>
      </c>
      <c r="O16" s="686">
        <v>15487.81</v>
      </c>
      <c r="P16" s="689">
        <v>41649</v>
      </c>
      <c r="Q16" s="686">
        <v>18453.060000000001</v>
      </c>
      <c r="R16" s="689">
        <v>42013</v>
      </c>
      <c r="S16" s="719">
        <v>20395.91</v>
      </c>
      <c r="T16" s="689">
        <f t="shared" si="15"/>
        <v>42384</v>
      </c>
      <c r="U16" s="719">
        <v>23019.65</v>
      </c>
      <c r="V16" s="689">
        <f t="shared" si="15"/>
        <v>42748</v>
      </c>
      <c r="W16" s="719">
        <v>21949.42</v>
      </c>
      <c r="X16" s="689">
        <f t="shared" ref="X16:Z16" si="20">X15+1</f>
        <v>43112</v>
      </c>
      <c r="Y16" s="719">
        <v>18861.23</v>
      </c>
      <c r="Z16" s="689">
        <f t="shared" si="20"/>
        <v>43476</v>
      </c>
      <c r="AA16" s="719">
        <v>22064.09</v>
      </c>
      <c r="AB16" s="689">
        <f t="shared" ref="AB16" si="21">AB15+1</f>
        <v>43840</v>
      </c>
      <c r="AC16" s="719">
        <v>20592.84</v>
      </c>
      <c r="AD16" s="864"/>
      <c r="AJ16" s="751"/>
      <c r="AK16" s="752"/>
      <c r="AL16" s="753"/>
      <c r="AM16" s="762">
        <f t="shared" si="13"/>
        <v>0</v>
      </c>
      <c r="AN16" s="197">
        <f t="shared" si="14"/>
        <v>44204</v>
      </c>
    </row>
    <row r="17" spans="1:40" hidden="1">
      <c r="A17" s="7">
        <v>1</v>
      </c>
      <c r="B17">
        <v>2</v>
      </c>
      <c r="C17" s="7" t="s">
        <v>108</v>
      </c>
      <c r="D17" s="697">
        <v>39459</v>
      </c>
      <c r="E17" s="695">
        <v>25995.9</v>
      </c>
      <c r="F17" s="697">
        <v>39823</v>
      </c>
      <c r="G17" s="695">
        <v>8774.86</v>
      </c>
      <c r="H17" s="697">
        <v>40187</v>
      </c>
      <c r="I17" s="695">
        <v>21764.639999999999</v>
      </c>
      <c r="J17" s="683">
        <v>40551</v>
      </c>
      <c r="K17" s="695">
        <v>18299.150000000001</v>
      </c>
      <c r="L17" s="683">
        <v>40922</v>
      </c>
      <c r="M17" s="707">
        <v>19434.310000000001</v>
      </c>
      <c r="N17" s="683">
        <v>41286</v>
      </c>
      <c r="O17" s="686">
        <v>21762.3</v>
      </c>
      <c r="P17" s="689">
        <v>41650</v>
      </c>
      <c r="Q17" s="686">
        <v>19253.150000000001</v>
      </c>
      <c r="R17" s="689">
        <v>42014</v>
      </c>
      <c r="S17" s="719">
        <v>23650.15</v>
      </c>
      <c r="T17" s="689">
        <f t="shared" si="15"/>
        <v>42385</v>
      </c>
      <c r="U17" s="719">
        <v>22087.55</v>
      </c>
      <c r="V17" s="689">
        <f t="shared" si="15"/>
        <v>42749</v>
      </c>
      <c r="W17" s="719">
        <v>23529.360000000001</v>
      </c>
      <c r="X17" s="689">
        <f t="shared" ref="X17:Z17" si="22">X16+1</f>
        <v>43113</v>
      </c>
      <c r="Y17" s="719">
        <v>20427.12</v>
      </c>
      <c r="Z17" s="689">
        <f t="shared" si="22"/>
        <v>43477</v>
      </c>
      <c r="AA17" s="719">
        <v>22774.81</v>
      </c>
      <c r="AB17" s="689">
        <f t="shared" ref="AB17" si="23">AB16+1</f>
        <v>43841</v>
      </c>
      <c r="AC17" s="719">
        <v>25584.77</v>
      </c>
      <c r="AD17" s="864"/>
      <c r="AJ17" s="751"/>
      <c r="AK17" s="752"/>
      <c r="AL17" s="753"/>
      <c r="AM17" s="762">
        <f t="shared" si="13"/>
        <v>0</v>
      </c>
      <c r="AN17" s="197">
        <f t="shared" si="14"/>
        <v>44205</v>
      </c>
    </row>
    <row r="18" spans="1:40" ht="15.75" hidden="1" thickBot="1">
      <c r="A18" s="12">
        <v>1</v>
      </c>
      <c r="B18" s="14">
        <v>2</v>
      </c>
      <c r="C18" s="7" t="s">
        <v>109</v>
      </c>
      <c r="D18" s="699">
        <v>39460</v>
      </c>
      <c r="E18" s="695">
        <v>8662.2800000000007</v>
      </c>
      <c r="F18" s="699">
        <v>39824</v>
      </c>
      <c r="G18" s="695">
        <v>4106.3</v>
      </c>
      <c r="H18" s="699">
        <v>40188</v>
      </c>
      <c r="I18" s="695">
        <v>4839.76</v>
      </c>
      <c r="J18" s="700">
        <v>40552</v>
      </c>
      <c r="K18" s="695">
        <v>3229.86</v>
      </c>
      <c r="L18" s="683">
        <v>40923</v>
      </c>
      <c r="M18" s="707">
        <v>6211.85</v>
      </c>
      <c r="N18" s="683">
        <v>41287</v>
      </c>
      <c r="O18" s="686">
        <v>4876.95</v>
      </c>
      <c r="P18" s="689">
        <v>41651</v>
      </c>
      <c r="Q18" s="686">
        <v>13000.1</v>
      </c>
      <c r="R18" s="637">
        <v>42015</v>
      </c>
      <c r="S18" s="722">
        <v>9942.2999999999993</v>
      </c>
      <c r="T18" s="689">
        <f t="shared" si="15"/>
        <v>42386</v>
      </c>
      <c r="U18" s="722">
        <v>15462.46</v>
      </c>
      <c r="V18" s="689">
        <f t="shared" si="15"/>
        <v>42750</v>
      </c>
      <c r="W18" s="720">
        <v>16716.3</v>
      </c>
      <c r="X18" s="689">
        <f t="shared" ref="X18:Z18" si="24">X17+1</f>
        <v>43114</v>
      </c>
      <c r="Y18" s="720">
        <v>18235.900000000001</v>
      </c>
      <c r="Z18" s="689">
        <f t="shared" si="24"/>
        <v>43478</v>
      </c>
      <c r="AA18" s="720">
        <v>13743.6</v>
      </c>
      <c r="AB18" s="689">
        <f t="shared" ref="AB18" si="25">AB17+1</f>
        <v>43842</v>
      </c>
      <c r="AC18" s="720">
        <v>11497.11</v>
      </c>
      <c r="AD18" s="865"/>
      <c r="AE18" s="203">
        <f>SUM(E12:E18)</f>
        <v>122946.38</v>
      </c>
      <c r="AF18" s="203">
        <f>SUM(G12:G18)</f>
        <v>63905.440000000002</v>
      </c>
      <c r="AG18" s="203">
        <f>SUM(I12:I18)</f>
        <v>74549.649999999994</v>
      </c>
      <c r="AH18" s="203">
        <f>SUM(K12:K18)</f>
        <v>65896.58</v>
      </c>
      <c r="AI18" s="203">
        <f>SUM(M12:M18)</f>
        <v>105896.26000000001</v>
      </c>
      <c r="AJ18" s="751"/>
      <c r="AK18" s="752"/>
      <c r="AL18" s="754"/>
      <c r="AM18" s="762">
        <f t="shared" si="13"/>
        <v>0</v>
      </c>
      <c r="AN18" s="197">
        <f t="shared" si="14"/>
        <v>44206</v>
      </c>
    </row>
    <row r="19" spans="1:40" s="428" customFormat="1" ht="15.75" hidden="1" thickBot="1">
      <c r="A19" s="486"/>
      <c r="C19" s="809" t="s">
        <v>282</v>
      </c>
      <c r="D19" s="810"/>
      <c r="E19" s="811"/>
      <c r="F19" s="810"/>
      <c r="G19" s="811"/>
      <c r="H19" s="810"/>
      <c r="I19" s="811"/>
      <c r="J19" s="812"/>
      <c r="K19" s="813"/>
      <c r="L19" s="812"/>
      <c r="M19" s="813"/>
      <c r="N19" s="812"/>
      <c r="O19" s="814">
        <f>SUM(O12:O18)</f>
        <v>83314.080000000002</v>
      </c>
      <c r="P19" s="812"/>
      <c r="Q19" s="814">
        <f>SUM(Q12:Q18)</f>
        <v>91276.87</v>
      </c>
      <c r="R19" s="815"/>
      <c r="S19" s="816">
        <f>SUM(S12:S18)</f>
        <v>87744.73</v>
      </c>
      <c r="T19" s="815"/>
      <c r="U19" s="816">
        <f>SUM(U12:U18)</f>
        <v>114735.22</v>
      </c>
      <c r="V19" s="815"/>
      <c r="W19" s="816">
        <f>SUM(W12:W18)</f>
        <v>107629.39</v>
      </c>
      <c r="X19" s="815"/>
      <c r="Y19" s="816">
        <f>SUM(Y12:Y18)</f>
        <v>107593.57</v>
      </c>
      <c r="Z19" s="815"/>
      <c r="AA19" s="816">
        <f>SUM(AA12:AA18)</f>
        <v>106190.46</v>
      </c>
      <c r="AB19" s="815"/>
      <c r="AC19" s="816">
        <f>SUM(AC12:AC18)</f>
        <v>98846.720000000001</v>
      </c>
      <c r="AD19" s="758"/>
      <c r="AE19" s="822"/>
      <c r="AF19" s="822"/>
      <c r="AG19" s="822"/>
      <c r="AH19" s="822"/>
      <c r="AI19" s="822"/>
      <c r="AJ19" s="820">
        <f>SUM(AJ12:AJ18)</f>
        <v>0</v>
      </c>
      <c r="AK19" s="823">
        <f>SUM(AK12:AK18)</f>
        <v>0</v>
      </c>
      <c r="AL19" s="823">
        <f>SUM(AL12:AL18)</f>
        <v>0</v>
      </c>
      <c r="AM19" s="821">
        <f>SUM(AM12:AM18)</f>
        <v>0</v>
      </c>
    </row>
    <row r="20" spans="1:40" hidden="1">
      <c r="A20" s="5">
        <v>1</v>
      </c>
      <c r="B20" s="16">
        <v>3</v>
      </c>
      <c r="C20" s="7" t="s">
        <v>103</v>
      </c>
      <c r="D20" s="694">
        <v>39461</v>
      </c>
      <c r="E20" s="695">
        <v>1251.5899999999999</v>
      </c>
      <c r="F20" s="694">
        <v>39825</v>
      </c>
      <c r="G20" s="695">
        <v>7261.51</v>
      </c>
      <c r="H20" s="694">
        <v>40189</v>
      </c>
      <c r="I20" s="695">
        <v>7143.4</v>
      </c>
      <c r="J20" s="701">
        <v>40553</v>
      </c>
      <c r="K20" s="695">
        <v>6212.09</v>
      </c>
      <c r="L20" s="683">
        <v>40924</v>
      </c>
      <c r="M20" s="707">
        <v>9003.9500000000007</v>
      </c>
      <c r="N20" s="683">
        <v>41288</v>
      </c>
      <c r="O20" s="686">
        <v>7067.5</v>
      </c>
      <c r="P20" s="689">
        <v>41652</v>
      </c>
      <c r="Q20" s="686">
        <v>6982.3</v>
      </c>
      <c r="R20" s="638">
        <v>42016</v>
      </c>
      <c r="S20" s="718">
        <v>6066.85</v>
      </c>
      <c r="T20" s="638">
        <f>T18+1</f>
        <v>42387</v>
      </c>
      <c r="U20" s="718">
        <v>8128.21</v>
      </c>
      <c r="V20" s="638">
        <f>V18+1</f>
        <v>42751</v>
      </c>
      <c r="W20" s="717">
        <v>8042.95</v>
      </c>
      <c r="X20" s="638">
        <f>X18+1</f>
        <v>43115</v>
      </c>
      <c r="Y20" s="717">
        <v>9692.26</v>
      </c>
      <c r="Z20" s="638">
        <f>Z18+1</f>
        <v>43479</v>
      </c>
      <c r="AA20" s="717">
        <v>11858.69</v>
      </c>
      <c r="AB20" s="638">
        <f>AB18+1</f>
        <v>43843</v>
      </c>
      <c r="AC20" s="717">
        <v>11825.46</v>
      </c>
      <c r="AD20" s="863" t="s">
        <v>112</v>
      </c>
      <c r="AJ20" s="751"/>
      <c r="AK20" s="752"/>
      <c r="AL20" s="752"/>
      <c r="AM20" s="762">
        <f t="shared" ref="AM20:AM26" si="26">SUM(AJ20:AL20)</f>
        <v>0</v>
      </c>
      <c r="AN20" s="197">
        <f>AN18+1</f>
        <v>44207</v>
      </c>
    </row>
    <row r="21" spans="1:40" hidden="1">
      <c r="A21" s="7">
        <v>1</v>
      </c>
      <c r="B21">
        <v>3</v>
      </c>
      <c r="C21" s="7" t="s">
        <v>104</v>
      </c>
      <c r="D21" s="697">
        <v>39462</v>
      </c>
      <c r="E21" s="695">
        <v>10871.62</v>
      </c>
      <c r="F21" s="697">
        <v>39826</v>
      </c>
      <c r="G21" s="695">
        <v>9244.1299999999992</v>
      </c>
      <c r="H21" s="697">
        <v>40190</v>
      </c>
      <c r="I21" s="695">
        <v>10804.77</v>
      </c>
      <c r="J21" s="683">
        <v>40554</v>
      </c>
      <c r="K21" s="695">
        <v>8389.0499999999993</v>
      </c>
      <c r="L21" s="683">
        <v>40925</v>
      </c>
      <c r="M21" s="707">
        <v>9869.51</v>
      </c>
      <c r="N21" s="683">
        <v>41289</v>
      </c>
      <c r="O21" s="686">
        <v>12462.11</v>
      </c>
      <c r="P21" s="689">
        <v>41653</v>
      </c>
      <c r="Q21" s="686">
        <v>10355.66</v>
      </c>
      <c r="R21" s="689">
        <v>42017</v>
      </c>
      <c r="S21" s="719">
        <v>10984.45</v>
      </c>
      <c r="T21" s="689">
        <f>T20+1</f>
        <v>42388</v>
      </c>
      <c r="U21" s="719">
        <v>10572.5</v>
      </c>
      <c r="V21" s="689">
        <f>V20+1</f>
        <v>42752</v>
      </c>
      <c r="W21" s="718">
        <v>10492.6</v>
      </c>
      <c r="X21" s="689">
        <f>X20+1</f>
        <v>43116</v>
      </c>
      <c r="Y21" s="718">
        <v>12913.75</v>
      </c>
      <c r="Z21" s="689">
        <f>Z20+1</f>
        <v>43480</v>
      </c>
      <c r="AA21" s="718">
        <v>12267.83</v>
      </c>
      <c r="AB21" s="689">
        <f>AB20+1</f>
        <v>43844</v>
      </c>
      <c r="AC21" s="718">
        <v>13383.05</v>
      </c>
      <c r="AD21" s="864"/>
      <c r="AJ21" s="751"/>
      <c r="AK21" s="752"/>
      <c r="AL21" s="753"/>
      <c r="AM21" s="762">
        <f t="shared" si="26"/>
        <v>0</v>
      </c>
      <c r="AN21" s="197">
        <f t="shared" ref="AN21:AN26" si="27">AN20+1</f>
        <v>44208</v>
      </c>
    </row>
    <row r="22" spans="1:40" hidden="1">
      <c r="A22" s="7">
        <v>1</v>
      </c>
      <c r="B22">
        <v>3</v>
      </c>
      <c r="C22" s="7" t="s">
        <v>105</v>
      </c>
      <c r="D22" s="697">
        <v>39463</v>
      </c>
      <c r="E22" s="695">
        <v>15390.07</v>
      </c>
      <c r="F22" s="697">
        <v>39827</v>
      </c>
      <c r="G22" s="695">
        <v>10561.89</v>
      </c>
      <c r="H22" s="697">
        <v>40191</v>
      </c>
      <c r="I22" s="695">
        <v>13221.98</v>
      </c>
      <c r="J22" s="683">
        <v>40555</v>
      </c>
      <c r="K22" s="679">
        <v>0</v>
      </c>
      <c r="L22" s="683">
        <v>40926</v>
      </c>
      <c r="M22" s="679">
        <v>18238.71</v>
      </c>
      <c r="N22" s="683">
        <v>41290</v>
      </c>
      <c r="O22" s="685">
        <v>7927.6</v>
      </c>
      <c r="P22" s="689">
        <v>41654</v>
      </c>
      <c r="Q22" s="685">
        <v>10070.1</v>
      </c>
      <c r="R22" s="689">
        <v>42018</v>
      </c>
      <c r="S22" s="719">
        <v>13616.39</v>
      </c>
      <c r="T22" s="689">
        <f t="shared" ref="T22:V26" si="28">T21+1</f>
        <v>42389</v>
      </c>
      <c r="U22" s="719">
        <v>11845.27</v>
      </c>
      <c r="V22" s="689">
        <f t="shared" si="28"/>
        <v>42753</v>
      </c>
      <c r="W22" s="719">
        <v>11496.23</v>
      </c>
      <c r="X22" s="689">
        <f t="shared" ref="X22:Z22" si="29">X21+1</f>
        <v>43117</v>
      </c>
      <c r="Y22" s="719">
        <v>8181.29</v>
      </c>
      <c r="Z22" s="689">
        <f t="shared" si="29"/>
        <v>43481</v>
      </c>
      <c r="AA22" s="719">
        <v>14109.87</v>
      </c>
      <c r="AB22" s="689">
        <f t="shared" ref="AB22" si="30">AB21+1</f>
        <v>43845</v>
      </c>
      <c r="AC22" s="719">
        <v>18697.25</v>
      </c>
      <c r="AD22" s="864"/>
      <c r="AJ22" s="751"/>
      <c r="AK22" s="752"/>
      <c r="AL22" s="753"/>
      <c r="AM22" s="762">
        <f t="shared" si="26"/>
        <v>0</v>
      </c>
      <c r="AN22" s="197">
        <f t="shared" si="27"/>
        <v>44209</v>
      </c>
    </row>
    <row r="23" spans="1:40" hidden="1">
      <c r="A23" s="7">
        <v>1</v>
      </c>
      <c r="B23">
        <v>3</v>
      </c>
      <c r="C23" s="7" t="s">
        <v>106</v>
      </c>
      <c r="D23" s="697">
        <v>39464</v>
      </c>
      <c r="E23" s="695">
        <v>20790.099999999999</v>
      </c>
      <c r="F23" s="697">
        <v>39828</v>
      </c>
      <c r="G23" s="695">
        <v>13551.2</v>
      </c>
      <c r="H23" s="697">
        <v>40192</v>
      </c>
      <c r="I23" s="695">
        <v>14367.07</v>
      </c>
      <c r="J23" s="683">
        <v>40556</v>
      </c>
      <c r="K23" s="695">
        <v>7479.28</v>
      </c>
      <c r="L23" s="683">
        <v>40927</v>
      </c>
      <c r="M23" s="707">
        <v>13709.84</v>
      </c>
      <c r="N23" s="683">
        <v>41291</v>
      </c>
      <c r="O23" s="686">
        <v>13813.95</v>
      </c>
      <c r="P23" s="689">
        <v>41655</v>
      </c>
      <c r="Q23" s="686">
        <v>15316.26</v>
      </c>
      <c r="R23" s="689">
        <v>42019</v>
      </c>
      <c r="S23" s="719">
        <v>18293.59</v>
      </c>
      <c r="T23" s="689">
        <f t="shared" si="28"/>
        <v>42390</v>
      </c>
      <c r="U23" s="719">
        <v>15767.25</v>
      </c>
      <c r="V23" s="689">
        <f t="shared" si="28"/>
        <v>42754</v>
      </c>
      <c r="W23" s="719">
        <v>12957.55</v>
      </c>
      <c r="X23" s="689">
        <f t="shared" ref="X23:Z23" si="31">X22+1</f>
        <v>43118</v>
      </c>
      <c r="Y23" s="719">
        <v>14772.05</v>
      </c>
      <c r="Z23" s="689">
        <f t="shared" si="31"/>
        <v>43482</v>
      </c>
      <c r="AA23" s="719">
        <v>14469.04</v>
      </c>
      <c r="AB23" s="689">
        <f t="shared" ref="AB23" si="32">AB22+1</f>
        <v>43846</v>
      </c>
      <c r="AC23" s="719">
        <v>13544.39</v>
      </c>
      <c r="AD23" s="864"/>
      <c r="AJ23" s="751"/>
      <c r="AK23" s="752"/>
      <c r="AL23" s="753"/>
      <c r="AM23" s="762">
        <f t="shared" si="26"/>
        <v>0</v>
      </c>
      <c r="AN23" s="197">
        <f t="shared" si="27"/>
        <v>44210</v>
      </c>
    </row>
    <row r="24" spans="1:40" hidden="1">
      <c r="A24" s="7">
        <v>1</v>
      </c>
      <c r="B24">
        <v>3</v>
      </c>
      <c r="C24" s="7" t="s">
        <v>107</v>
      </c>
      <c r="D24" s="697">
        <v>39465</v>
      </c>
      <c r="E24" s="695">
        <v>25757</v>
      </c>
      <c r="F24" s="697">
        <v>39829</v>
      </c>
      <c r="G24" s="695">
        <v>15664.52</v>
      </c>
      <c r="H24" s="697">
        <v>40193</v>
      </c>
      <c r="I24" s="695">
        <v>18475.98</v>
      </c>
      <c r="J24" s="683">
        <v>40557</v>
      </c>
      <c r="K24" s="695">
        <v>17872.669999999998</v>
      </c>
      <c r="L24" s="683">
        <v>40928</v>
      </c>
      <c r="M24" s="707">
        <v>23758.37</v>
      </c>
      <c r="N24" s="683">
        <v>41292</v>
      </c>
      <c r="O24" s="686">
        <v>19004.009999999998</v>
      </c>
      <c r="P24" s="689">
        <v>41656</v>
      </c>
      <c r="Q24" s="686">
        <v>19423.650000000001</v>
      </c>
      <c r="R24" s="689">
        <v>42020</v>
      </c>
      <c r="S24" s="719">
        <v>22617.77</v>
      </c>
      <c r="T24" s="689">
        <f t="shared" si="28"/>
        <v>42391</v>
      </c>
      <c r="U24" s="719">
        <v>19435.05</v>
      </c>
      <c r="V24" s="689">
        <f t="shared" si="28"/>
        <v>42755</v>
      </c>
      <c r="W24" s="719">
        <v>20667.18</v>
      </c>
      <c r="X24" s="689">
        <f t="shared" ref="X24:Z24" si="33">X23+1</f>
        <v>43119</v>
      </c>
      <c r="Y24" s="719">
        <v>24172.53</v>
      </c>
      <c r="Z24" s="689">
        <f t="shared" si="33"/>
        <v>43483</v>
      </c>
      <c r="AA24" s="719">
        <v>18609.82</v>
      </c>
      <c r="AB24" s="689">
        <f t="shared" ref="AB24" si="34">AB23+1</f>
        <v>43847</v>
      </c>
      <c r="AC24" s="719">
        <v>22289.83</v>
      </c>
      <c r="AD24" s="864"/>
      <c r="AJ24" s="751"/>
      <c r="AK24" s="752"/>
      <c r="AL24" s="753"/>
      <c r="AM24" s="762">
        <f t="shared" si="26"/>
        <v>0</v>
      </c>
      <c r="AN24" s="197">
        <f t="shared" si="27"/>
        <v>44211</v>
      </c>
    </row>
    <row r="25" spans="1:40" hidden="1">
      <c r="A25" s="7">
        <v>1</v>
      </c>
      <c r="B25">
        <v>3</v>
      </c>
      <c r="C25" s="7" t="s">
        <v>108</v>
      </c>
      <c r="D25" s="697">
        <v>39466</v>
      </c>
      <c r="E25" s="695">
        <v>26837.8</v>
      </c>
      <c r="F25" s="697">
        <v>39830</v>
      </c>
      <c r="G25" s="695">
        <v>23596.55</v>
      </c>
      <c r="H25" s="697">
        <v>40194</v>
      </c>
      <c r="I25" s="695">
        <v>20449.14</v>
      </c>
      <c r="J25" s="683">
        <v>40558</v>
      </c>
      <c r="K25" s="695">
        <v>22280.91</v>
      </c>
      <c r="L25" s="683">
        <v>40929</v>
      </c>
      <c r="M25" s="707">
        <v>18038.2</v>
      </c>
      <c r="N25" s="683">
        <v>41293</v>
      </c>
      <c r="O25" s="686">
        <v>22589.56</v>
      </c>
      <c r="P25" s="689">
        <v>41657</v>
      </c>
      <c r="Q25" s="686">
        <v>23641.8</v>
      </c>
      <c r="R25" s="689">
        <v>42021</v>
      </c>
      <c r="S25" s="719">
        <v>24261.919999999998</v>
      </c>
      <c r="T25" s="689">
        <f t="shared" si="28"/>
        <v>42392</v>
      </c>
      <c r="U25" s="719">
        <v>4632</v>
      </c>
      <c r="V25" s="689">
        <f t="shared" si="28"/>
        <v>42756</v>
      </c>
      <c r="W25" s="719">
        <v>24350.52</v>
      </c>
      <c r="X25" s="689">
        <f t="shared" ref="X25:Z25" si="35">X24+1</f>
        <v>43120</v>
      </c>
      <c r="Y25" s="719">
        <v>26462.51</v>
      </c>
      <c r="Z25" s="689">
        <f t="shared" si="35"/>
        <v>43484</v>
      </c>
      <c r="AA25" s="719">
        <v>18635.25</v>
      </c>
      <c r="AB25" s="689">
        <f t="shared" ref="AB25" si="36">AB24+1</f>
        <v>43848</v>
      </c>
      <c r="AC25" s="719">
        <v>12428.34</v>
      </c>
      <c r="AD25" s="864"/>
      <c r="AJ25" s="751"/>
      <c r="AK25" s="752"/>
      <c r="AL25" s="753"/>
      <c r="AM25" s="762">
        <f t="shared" si="26"/>
        <v>0</v>
      </c>
      <c r="AN25" s="197">
        <f t="shared" si="27"/>
        <v>44212</v>
      </c>
    </row>
    <row r="26" spans="1:40" ht="15.75" hidden="1" thickBot="1">
      <c r="A26" s="12">
        <v>1</v>
      </c>
      <c r="B26" s="14">
        <v>3</v>
      </c>
      <c r="C26" s="7" t="s">
        <v>109</v>
      </c>
      <c r="D26" s="699">
        <v>39467</v>
      </c>
      <c r="E26" s="695">
        <v>7772.69</v>
      </c>
      <c r="F26" s="699">
        <v>39831</v>
      </c>
      <c r="G26" s="695">
        <v>4268.49</v>
      </c>
      <c r="H26" s="699">
        <v>40195</v>
      </c>
      <c r="I26" s="695">
        <v>5798.29</v>
      </c>
      <c r="J26" s="700">
        <v>40559</v>
      </c>
      <c r="K26" s="695">
        <v>5124.7</v>
      </c>
      <c r="L26" s="683">
        <v>40930</v>
      </c>
      <c r="M26" s="707">
        <v>3156.42</v>
      </c>
      <c r="N26" s="683">
        <v>41294</v>
      </c>
      <c r="O26" s="686">
        <v>7752.7</v>
      </c>
      <c r="P26" s="689">
        <v>41658</v>
      </c>
      <c r="Q26" s="686">
        <v>8130.7</v>
      </c>
      <c r="R26" s="637">
        <v>42022</v>
      </c>
      <c r="S26" s="720">
        <v>8024.32</v>
      </c>
      <c r="T26" s="689">
        <f t="shared" si="28"/>
        <v>42393</v>
      </c>
      <c r="U26" s="720">
        <v>6585.51</v>
      </c>
      <c r="V26" s="689">
        <f t="shared" si="28"/>
        <v>42757</v>
      </c>
      <c r="W26" s="720">
        <v>9436.5</v>
      </c>
      <c r="X26" s="689">
        <f t="shared" ref="X26:Z26" si="37">X25+1</f>
        <v>43121</v>
      </c>
      <c r="Y26" s="720">
        <v>10544.07</v>
      </c>
      <c r="Z26" s="689">
        <f t="shared" si="37"/>
        <v>43485</v>
      </c>
      <c r="AA26" s="720">
        <v>857.55</v>
      </c>
      <c r="AB26" s="689">
        <f t="shared" ref="AB26" si="38">AB25+1</f>
        <v>43849</v>
      </c>
      <c r="AC26" s="720">
        <v>14759.57</v>
      </c>
      <c r="AD26" s="865"/>
      <c r="AE26" s="203">
        <f>SUM(E20:E26)</f>
        <v>108670.87000000001</v>
      </c>
      <c r="AF26" s="203">
        <f>SUM(G20:G26)</f>
        <v>84148.290000000008</v>
      </c>
      <c r="AG26" s="203">
        <f>SUM(I20:I26)</f>
        <v>90260.62999999999</v>
      </c>
      <c r="AH26" s="203">
        <f>SUM(K20:K26)</f>
        <v>67358.7</v>
      </c>
      <c r="AI26" s="203">
        <f>SUM(M20:M26)</f>
        <v>95774.999999999985</v>
      </c>
      <c r="AJ26" s="751"/>
      <c r="AK26" s="752"/>
      <c r="AL26" s="754"/>
      <c r="AM26" s="762">
        <f t="shared" si="26"/>
        <v>0</v>
      </c>
      <c r="AN26" s="197">
        <f t="shared" si="27"/>
        <v>44213</v>
      </c>
    </row>
    <row r="27" spans="1:40" s="428" customFormat="1" ht="15.75" hidden="1" thickBot="1">
      <c r="A27" s="486"/>
      <c r="C27" s="809" t="s">
        <v>282</v>
      </c>
      <c r="D27" s="810"/>
      <c r="E27" s="811"/>
      <c r="F27" s="810"/>
      <c r="G27" s="811"/>
      <c r="H27" s="810"/>
      <c r="I27" s="811"/>
      <c r="J27" s="812"/>
      <c r="K27" s="813"/>
      <c r="L27" s="812"/>
      <c r="M27" s="813"/>
      <c r="N27" s="812"/>
      <c r="O27" s="814">
        <f>SUM(O20:O26)</f>
        <v>90617.43</v>
      </c>
      <c r="P27" s="812"/>
      <c r="Q27" s="814">
        <f>SUM(Q20:Q26)</f>
        <v>93920.47</v>
      </c>
      <c r="R27" s="815"/>
      <c r="S27" s="816">
        <f>SUM(S20:S26)</f>
        <v>103865.29000000001</v>
      </c>
      <c r="T27" s="815"/>
      <c r="U27" s="816">
        <f>SUM(U20:U26)</f>
        <v>76965.789999999994</v>
      </c>
      <c r="V27" s="815"/>
      <c r="W27" s="816">
        <f>SUM(W20:W26)</f>
        <v>97443.53</v>
      </c>
      <c r="X27" s="815"/>
      <c r="Y27" s="816">
        <f>SUM(Y20:Y26)</f>
        <v>106738.45999999999</v>
      </c>
      <c r="Z27" s="815"/>
      <c r="AA27" s="816">
        <f>SUM(AA20:AA26)</f>
        <v>90808.05</v>
      </c>
      <c r="AB27" s="815"/>
      <c r="AC27" s="816">
        <f>SUM(AC20:AC26)</f>
        <v>106927.88999999998</v>
      </c>
      <c r="AD27" s="758"/>
      <c r="AE27" s="822"/>
      <c r="AF27" s="822"/>
      <c r="AG27" s="822"/>
      <c r="AH27" s="822"/>
      <c r="AI27" s="822"/>
      <c r="AJ27" s="820">
        <f>SUM(AJ20:AJ26)</f>
        <v>0</v>
      </c>
      <c r="AK27" s="823">
        <f>SUM(AK20:AK26)</f>
        <v>0</v>
      </c>
      <c r="AL27" s="823">
        <f>SUM(AL20:AL26)</f>
        <v>0</v>
      </c>
      <c r="AM27" s="821">
        <f>SUM(AM20:AM26)</f>
        <v>0</v>
      </c>
    </row>
    <row r="28" spans="1:40" hidden="1">
      <c r="A28" s="5">
        <v>1</v>
      </c>
      <c r="B28" s="16">
        <v>4</v>
      </c>
      <c r="C28" s="7" t="s">
        <v>103</v>
      </c>
      <c r="D28" s="694">
        <v>39468</v>
      </c>
      <c r="E28" s="695">
        <v>12580.58</v>
      </c>
      <c r="F28" s="694">
        <v>39832</v>
      </c>
      <c r="G28" s="695">
        <v>6768.27</v>
      </c>
      <c r="H28" s="694">
        <v>40196</v>
      </c>
      <c r="I28" s="695">
        <v>7125.36</v>
      </c>
      <c r="J28" s="701">
        <v>40560</v>
      </c>
      <c r="K28" s="695">
        <v>10304.43</v>
      </c>
      <c r="L28" s="683">
        <v>40931</v>
      </c>
      <c r="M28" s="707">
        <v>4418.95</v>
      </c>
      <c r="N28" s="683">
        <v>41295</v>
      </c>
      <c r="O28" s="686">
        <v>8323.86</v>
      </c>
      <c r="P28" s="689">
        <v>41659</v>
      </c>
      <c r="Q28" s="686">
        <v>11207.5</v>
      </c>
      <c r="R28" s="638">
        <v>42023</v>
      </c>
      <c r="S28" s="718">
        <v>8748.51</v>
      </c>
      <c r="T28" s="638">
        <f>T26+1</f>
        <v>42394</v>
      </c>
      <c r="U28" s="718">
        <v>8585.4</v>
      </c>
      <c r="V28" s="638">
        <f>V26+1</f>
        <v>42758</v>
      </c>
      <c r="W28" s="717">
        <v>9514.86</v>
      </c>
      <c r="X28" s="638">
        <f>X26+1</f>
        <v>43122</v>
      </c>
      <c r="Y28" s="717">
        <v>8974.25</v>
      </c>
      <c r="Z28" s="638">
        <f>Z26+1</f>
        <v>43486</v>
      </c>
      <c r="AA28" s="717">
        <v>5337.21</v>
      </c>
      <c r="AB28" s="638">
        <f>AB26+1</f>
        <v>43850</v>
      </c>
      <c r="AC28" s="717">
        <v>11248.29</v>
      </c>
      <c r="AD28" s="863" t="s">
        <v>113</v>
      </c>
      <c r="AJ28" s="751"/>
      <c r="AK28" s="752"/>
      <c r="AL28" s="752"/>
      <c r="AM28" s="762">
        <f t="shared" ref="AM28:AM34" si="39">SUM(AJ28:AL28)</f>
        <v>0</v>
      </c>
      <c r="AN28" s="197">
        <f>AN26+1</f>
        <v>44214</v>
      </c>
    </row>
    <row r="29" spans="1:40" hidden="1">
      <c r="A29" s="7">
        <v>1</v>
      </c>
      <c r="B29">
        <v>4</v>
      </c>
      <c r="C29" s="7" t="s">
        <v>104</v>
      </c>
      <c r="D29" s="697">
        <v>39469</v>
      </c>
      <c r="E29" s="695">
        <v>12202.55</v>
      </c>
      <c r="F29" s="697">
        <v>39833</v>
      </c>
      <c r="G29" s="695">
        <v>8743.31</v>
      </c>
      <c r="H29" s="697">
        <v>40197</v>
      </c>
      <c r="I29" s="695">
        <v>8090.28</v>
      </c>
      <c r="J29" s="683">
        <v>40561</v>
      </c>
      <c r="K29" s="695">
        <v>4074.92</v>
      </c>
      <c r="L29" s="683">
        <v>40932</v>
      </c>
      <c r="M29" s="707">
        <v>11035.8</v>
      </c>
      <c r="N29" s="683">
        <v>41296</v>
      </c>
      <c r="O29" s="686">
        <v>8356.2199999999993</v>
      </c>
      <c r="P29" s="689">
        <v>41660</v>
      </c>
      <c r="Q29" s="686">
        <v>2812.7</v>
      </c>
      <c r="R29" s="689">
        <v>42024</v>
      </c>
      <c r="S29" s="719">
        <v>13076.2</v>
      </c>
      <c r="T29" s="689">
        <f>T28+1</f>
        <v>42395</v>
      </c>
      <c r="U29" s="719">
        <v>12806.06</v>
      </c>
      <c r="V29" s="689">
        <f>V28+1</f>
        <v>42759</v>
      </c>
      <c r="W29" s="718">
        <v>10972.36</v>
      </c>
      <c r="X29" s="689">
        <f>X28+1</f>
        <v>43123</v>
      </c>
      <c r="Y29" s="718">
        <v>13276.38</v>
      </c>
      <c r="Z29" s="689">
        <f>Z28+1</f>
        <v>43487</v>
      </c>
      <c r="AA29" s="718">
        <v>8809.48</v>
      </c>
      <c r="AB29" s="689">
        <f>AB28+1</f>
        <v>43851</v>
      </c>
      <c r="AC29" s="718">
        <v>9391.33</v>
      </c>
      <c r="AD29" s="864"/>
      <c r="AJ29" s="751"/>
      <c r="AK29" s="752"/>
      <c r="AL29" s="753"/>
      <c r="AM29" s="762">
        <f t="shared" si="39"/>
        <v>0</v>
      </c>
      <c r="AN29" s="197">
        <f t="shared" ref="AN29:AN34" si="40">AN28+1</f>
        <v>44215</v>
      </c>
    </row>
    <row r="30" spans="1:40" hidden="1">
      <c r="A30" s="7">
        <v>1</v>
      </c>
      <c r="B30">
        <v>4</v>
      </c>
      <c r="C30" s="7" t="s">
        <v>105</v>
      </c>
      <c r="D30" s="697">
        <v>39470</v>
      </c>
      <c r="E30" s="695">
        <v>15154.96</v>
      </c>
      <c r="F30" s="697">
        <v>39834</v>
      </c>
      <c r="G30" s="695">
        <v>14068.65</v>
      </c>
      <c r="H30" s="697">
        <v>40198</v>
      </c>
      <c r="I30" s="695">
        <v>12580.35</v>
      </c>
      <c r="J30" s="683">
        <v>40562</v>
      </c>
      <c r="K30" s="695">
        <v>11964.2</v>
      </c>
      <c r="L30" s="683">
        <v>40933</v>
      </c>
      <c r="M30" s="707">
        <v>13040.53</v>
      </c>
      <c r="N30" s="683">
        <v>41297</v>
      </c>
      <c r="O30" s="686">
        <v>8862.2099999999991</v>
      </c>
      <c r="P30" s="689">
        <v>41661</v>
      </c>
      <c r="Q30" s="686">
        <v>8494.1</v>
      </c>
      <c r="R30" s="689">
        <v>42025</v>
      </c>
      <c r="S30" s="719">
        <v>13314.8</v>
      </c>
      <c r="T30" s="689">
        <f t="shared" ref="T30:V34" si="41">T29+1</f>
        <v>42396</v>
      </c>
      <c r="U30" s="719">
        <v>15174.5</v>
      </c>
      <c r="V30" s="689">
        <f t="shared" si="41"/>
        <v>42760</v>
      </c>
      <c r="W30" s="719">
        <v>13983.8</v>
      </c>
      <c r="X30" s="689">
        <f t="shared" ref="X30:Z30" si="42">X29+1</f>
        <v>43124</v>
      </c>
      <c r="Y30" s="719">
        <v>12083</v>
      </c>
      <c r="Z30" s="689">
        <f t="shared" si="42"/>
        <v>43488</v>
      </c>
      <c r="AA30" s="719">
        <v>9953.23</v>
      </c>
      <c r="AB30" s="689">
        <f t="shared" ref="AB30" si="43">AB29+1</f>
        <v>43852</v>
      </c>
      <c r="AC30" s="719">
        <v>16507.080000000002</v>
      </c>
      <c r="AD30" s="864"/>
      <c r="AJ30" s="751"/>
      <c r="AK30" s="752"/>
      <c r="AL30" s="753"/>
      <c r="AM30" s="762">
        <f t="shared" si="39"/>
        <v>0</v>
      </c>
      <c r="AN30" s="197">
        <f t="shared" si="40"/>
        <v>44216</v>
      </c>
    </row>
    <row r="31" spans="1:40" hidden="1">
      <c r="A31" s="7">
        <v>1</v>
      </c>
      <c r="B31">
        <v>4</v>
      </c>
      <c r="C31" s="7" t="s">
        <v>106</v>
      </c>
      <c r="D31" s="697">
        <v>39471</v>
      </c>
      <c r="E31" s="695">
        <v>14623.65</v>
      </c>
      <c r="F31" s="697">
        <v>39835</v>
      </c>
      <c r="G31" s="695">
        <v>12039.56</v>
      </c>
      <c r="H31" s="697">
        <v>40199</v>
      </c>
      <c r="I31" s="695">
        <v>15061.89</v>
      </c>
      <c r="J31" s="683">
        <v>40563</v>
      </c>
      <c r="K31" s="695">
        <v>13429.44</v>
      </c>
      <c r="L31" s="683">
        <v>40934</v>
      </c>
      <c r="M31" s="707">
        <v>6082.2</v>
      </c>
      <c r="N31" s="683">
        <v>41298</v>
      </c>
      <c r="O31" s="686">
        <v>11966.75</v>
      </c>
      <c r="P31" s="689">
        <v>41662</v>
      </c>
      <c r="Q31" s="686">
        <v>11233.05</v>
      </c>
      <c r="R31" s="689">
        <v>42026</v>
      </c>
      <c r="S31" s="719">
        <v>14341.8</v>
      </c>
      <c r="T31" s="689">
        <f t="shared" si="41"/>
        <v>42397</v>
      </c>
      <c r="U31" s="719">
        <v>14054.3</v>
      </c>
      <c r="V31" s="689">
        <f t="shared" si="41"/>
        <v>42761</v>
      </c>
      <c r="W31" s="719">
        <v>15804.66</v>
      </c>
      <c r="X31" s="689">
        <f t="shared" ref="X31:Z31" si="44">X30+1</f>
        <v>43125</v>
      </c>
      <c r="Y31" s="719">
        <v>12142.73</v>
      </c>
      <c r="Z31" s="689">
        <f t="shared" si="44"/>
        <v>43489</v>
      </c>
      <c r="AA31" s="719">
        <v>13638.13</v>
      </c>
      <c r="AB31" s="689">
        <f t="shared" ref="AB31" si="45">AB30+1</f>
        <v>43853</v>
      </c>
      <c r="AC31" s="719">
        <v>18333.689999999999</v>
      </c>
      <c r="AD31" s="864"/>
      <c r="AJ31" s="751"/>
      <c r="AK31" s="752"/>
      <c r="AL31" s="753"/>
      <c r="AM31" s="762">
        <f t="shared" si="39"/>
        <v>0</v>
      </c>
      <c r="AN31" s="197">
        <f t="shared" si="40"/>
        <v>44217</v>
      </c>
    </row>
    <row r="32" spans="1:40" hidden="1">
      <c r="A32" s="7">
        <v>1</v>
      </c>
      <c r="B32">
        <v>4</v>
      </c>
      <c r="C32" s="7" t="s">
        <v>107</v>
      </c>
      <c r="D32" s="697">
        <v>39472</v>
      </c>
      <c r="E32" s="695">
        <v>23869.09</v>
      </c>
      <c r="F32" s="697">
        <v>39836</v>
      </c>
      <c r="G32" s="695">
        <v>22464.73</v>
      </c>
      <c r="H32" s="697">
        <v>40200</v>
      </c>
      <c r="I32" s="695">
        <v>15773.02</v>
      </c>
      <c r="J32" s="683">
        <v>40564</v>
      </c>
      <c r="K32" s="695">
        <v>12734.77</v>
      </c>
      <c r="L32" s="683">
        <v>40935</v>
      </c>
      <c r="M32" s="707">
        <v>16316.09</v>
      </c>
      <c r="N32" s="683">
        <v>41299</v>
      </c>
      <c r="O32" s="686">
        <v>16555.599999999999</v>
      </c>
      <c r="P32" s="689">
        <v>41663</v>
      </c>
      <c r="Q32" s="686">
        <v>17207.150000000001</v>
      </c>
      <c r="R32" s="689">
        <v>42027</v>
      </c>
      <c r="S32" s="719">
        <v>19326.46</v>
      </c>
      <c r="T32" s="689">
        <f t="shared" si="41"/>
        <v>42398</v>
      </c>
      <c r="U32" s="719">
        <v>21950.86</v>
      </c>
      <c r="V32" s="689">
        <f t="shared" si="41"/>
        <v>42762</v>
      </c>
      <c r="W32" s="719">
        <v>22653.51</v>
      </c>
      <c r="X32" s="689">
        <f t="shared" ref="X32:Z32" si="46">X31+1</f>
        <v>43126</v>
      </c>
      <c r="Y32" s="719">
        <v>21918.59</v>
      </c>
      <c r="Z32" s="689">
        <f t="shared" si="46"/>
        <v>43490</v>
      </c>
      <c r="AA32" s="719">
        <v>22516.79</v>
      </c>
      <c r="AB32" s="689">
        <f t="shared" ref="AB32" si="47">AB31+1</f>
        <v>43854</v>
      </c>
      <c r="AC32" s="719">
        <v>20036.189999999999</v>
      </c>
      <c r="AD32" s="864"/>
      <c r="AJ32" s="751"/>
      <c r="AK32" s="752"/>
      <c r="AL32" s="753"/>
      <c r="AM32" s="762">
        <f t="shared" si="39"/>
        <v>0</v>
      </c>
      <c r="AN32" s="197">
        <f t="shared" si="40"/>
        <v>44218</v>
      </c>
    </row>
    <row r="33" spans="1:40" hidden="1">
      <c r="A33" s="7">
        <v>1</v>
      </c>
      <c r="B33">
        <v>4</v>
      </c>
      <c r="C33" s="7" t="s">
        <v>108</v>
      </c>
      <c r="D33" s="697">
        <v>39473</v>
      </c>
      <c r="E33" s="695">
        <v>28193.33</v>
      </c>
      <c r="F33" s="697">
        <v>39837</v>
      </c>
      <c r="G33" s="695">
        <v>22900.55</v>
      </c>
      <c r="H33" s="697">
        <v>40201</v>
      </c>
      <c r="I33" s="695">
        <v>19826.150000000001</v>
      </c>
      <c r="J33" s="683">
        <v>40565</v>
      </c>
      <c r="K33" s="695">
        <v>24156.69</v>
      </c>
      <c r="L33" s="683">
        <v>40936</v>
      </c>
      <c r="M33" s="707">
        <v>24216.53</v>
      </c>
      <c r="N33" s="683">
        <v>41300</v>
      </c>
      <c r="O33" s="686">
        <v>22120.45</v>
      </c>
      <c r="P33" s="689">
        <v>41664</v>
      </c>
      <c r="Q33" s="686">
        <v>19169.259999999998</v>
      </c>
      <c r="R33" s="689">
        <v>42028</v>
      </c>
      <c r="S33" s="719">
        <v>8541.23</v>
      </c>
      <c r="T33" s="689">
        <f t="shared" si="41"/>
        <v>42399</v>
      </c>
      <c r="U33" s="719">
        <v>25700.61</v>
      </c>
      <c r="V33" s="689">
        <f t="shared" si="41"/>
        <v>42763</v>
      </c>
      <c r="W33" s="719">
        <v>24582.32</v>
      </c>
      <c r="X33" s="689">
        <f t="shared" ref="X33:Z33" si="48">X32+1</f>
        <v>43127</v>
      </c>
      <c r="Y33" s="719">
        <v>25245.97</v>
      </c>
      <c r="Z33" s="689">
        <f t="shared" si="48"/>
        <v>43491</v>
      </c>
      <c r="AA33" s="719">
        <v>24286.99</v>
      </c>
      <c r="AB33" s="689">
        <f t="shared" ref="AB33" si="49">AB32+1</f>
        <v>43855</v>
      </c>
      <c r="AC33" s="719">
        <v>23248.93</v>
      </c>
      <c r="AD33" s="864"/>
      <c r="AJ33" s="751"/>
      <c r="AK33" s="752"/>
      <c r="AL33" s="753"/>
      <c r="AM33" s="762">
        <f t="shared" si="39"/>
        <v>0</v>
      </c>
      <c r="AN33" s="197">
        <f t="shared" si="40"/>
        <v>44219</v>
      </c>
    </row>
    <row r="34" spans="1:40" ht="15.75" hidden="1" thickBot="1">
      <c r="A34" s="12">
        <v>1</v>
      </c>
      <c r="B34" s="14">
        <v>4</v>
      </c>
      <c r="C34" s="7" t="s">
        <v>109</v>
      </c>
      <c r="D34" s="699">
        <v>39474</v>
      </c>
      <c r="E34" s="695">
        <v>9436.61</v>
      </c>
      <c r="F34" s="699">
        <v>39838</v>
      </c>
      <c r="G34" s="695">
        <v>4984.1899999999996</v>
      </c>
      <c r="H34" s="699">
        <v>40202</v>
      </c>
      <c r="I34" s="695">
        <v>2510.15</v>
      </c>
      <c r="J34" s="700">
        <v>40566</v>
      </c>
      <c r="K34" s="695">
        <v>2688.75</v>
      </c>
      <c r="L34" s="683">
        <v>40937</v>
      </c>
      <c r="M34" s="707">
        <v>4764.6099999999997</v>
      </c>
      <c r="N34" s="683">
        <v>41301</v>
      </c>
      <c r="O34" s="686">
        <v>7595.76</v>
      </c>
      <c r="P34" s="689">
        <v>41665</v>
      </c>
      <c r="Q34" s="686">
        <v>9740.2999999999993</v>
      </c>
      <c r="R34" s="637">
        <v>42029</v>
      </c>
      <c r="S34" s="720">
        <v>11930.9</v>
      </c>
      <c r="T34" s="689">
        <f t="shared" si="41"/>
        <v>42400</v>
      </c>
      <c r="U34" s="720">
        <v>14909.62</v>
      </c>
      <c r="V34" s="689">
        <f t="shared" si="41"/>
        <v>42764</v>
      </c>
      <c r="W34" s="720">
        <v>14608.51</v>
      </c>
      <c r="X34" s="689">
        <f t="shared" ref="X34:Z34" si="50">X33+1</f>
        <v>43128</v>
      </c>
      <c r="Y34" s="720">
        <v>12061.89</v>
      </c>
      <c r="Z34" s="689">
        <f t="shared" si="50"/>
        <v>43492</v>
      </c>
      <c r="AA34" s="720">
        <v>12015.27</v>
      </c>
      <c r="AB34" s="689">
        <f t="shared" ref="AB34" si="51">AB33+1</f>
        <v>43856</v>
      </c>
      <c r="AC34" s="720">
        <v>13960.75</v>
      </c>
      <c r="AD34" s="865"/>
      <c r="AE34" s="203">
        <f>SUM(E28:E34)</f>
        <v>116060.77</v>
      </c>
      <c r="AF34" s="203">
        <f>SUM(G28:G34)</f>
        <v>91969.260000000009</v>
      </c>
      <c r="AG34" s="203">
        <f>SUM(I28:I34)</f>
        <v>80967.199999999983</v>
      </c>
      <c r="AH34" s="203">
        <f>SUM(K28:K34)</f>
        <v>79353.200000000012</v>
      </c>
      <c r="AI34" s="203">
        <f>SUM(M28:M34)</f>
        <v>79874.709999999992</v>
      </c>
      <c r="AJ34" s="751"/>
      <c r="AK34" s="752"/>
      <c r="AL34" s="754"/>
      <c r="AM34" s="762">
        <f t="shared" si="39"/>
        <v>0</v>
      </c>
      <c r="AN34" s="197">
        <f t="shared" si="40"/>
        <v>44220</v>
      </c>
    </row>
    <row r="35" spans="1:40" s="428" customFormat="1" ht="15.75" hidden="1" thickBot="1">
      <c r="A35" s="486"/>
      <c r="C35" s="809" t="s">
        <v>282</v>
      </c>
      <c r="D35" s="810"/>
      <c r="E35" s="811"/>
      <c r="F35" s="810"/>
      <c r="G35" s="811"/>
      <c r="H35" s="810"/>
      <c r="I35" s="811"/>
      <c r="J35" s="812"/>
      <c r="K35" s="813"/>
      <c r="L35" s="812"/>
      <c r="M35" s="813"/>
      <c r="N35" s="812"/>
      <c r="O35" s="814">
        <f>SUM(O28:O34)</f>
        <v>83780.849999999991</v>
      </c>
      <c r="P35" s="812"/>
      <c r="Q35" s="814">
        <f>SUM(Q28:Q34)</f>
        <v>79864.060000000012</v>
      </c>
      <c r="R35" s="815"/>
      <c r="S35" s="816">
        <f>SUM(S28:S34)</f>
        <v>89279.89999999998</v>
      </c>
      <c r="T35" s="815"/>
      <c r="U35" s="816">
        <f>SUM(U28:U34)</f>
        <v>113181.34999999999</v>
      </c>
      <c r="V35" s="815"/>
      <c r="W35" s="816">
        <f>SUM(W28:W34)</f>
        <v>112120.02</v>
      </c>
      <c r="X35" s="815"/>
      <c r="Y35" s="816">
        <f>SUM(Y28:Y34)</f>
        <v>105702.81</v>
      </c>
      <c r="Z35" s="815"/>
      <c r="AA35" s="816">
        <f>SUM(AA28:AA34)</f>
        <v>96557.1</v>
      </c>
      <c r="AB35" s="815"/>
      <c r="AC35" s="816">
        <f>SUM(AC28:AC34)</f>
        <v>112726.26000000001</v>
      </c>
      <c r="AD35" s="819"/>
      <c r="AE35" s="822"/>
      <c r="AF35" s="822"/>
      <c r="AG35" s="822"/>
      <c r="AH35" s="822"/>
      <c r="AI35" s="822"/>
      <c r="AJ35" s="820">
        <f>SUM(AJ28:AJ34)</f>
        <v>0</v>
      </c>
      <c r="AK35" s="823">
        <f>SUM(AK28:AK34)</f>
        <v>0</v>
      </c>
      <c r="AL35" s="823">
        <f>SUM(AL28:AL34)</f>
        <v>0</v>
      </c>
      <c r="AM35" s="821">
        <f>SUM(AM28:AM34)</f>
        <v>0</v>
      </c>
    </row>
    <row r="36" spans="1:40">
      <c r="A36" s="5">
        <v>2</v>
      </c>
      <c r="B36" s="16">
        <v>1</v>
      </c>
      <c r="C36" t="s">
        <v>103</v>
      </c>
      <c r="D36" s="694">
        <v>39475</v>
      </c>
      <c r="E36" s="695">
        <v>10580.79</v>
      </c>
      <c r="F36" s="694">
        <v>39839</v>
      </c>
      <c r="G36" s="695">
        <v>6472.43</v>
      </c>
      <c r="H36" s="694">
        <v>40203</v>
      </c>
      <c r="I36" s="695">
        <v>9465.41</v>
      </c>
      <c r="J36" s="701">
        <v>40567</v>
      </c>
      <c r="K36" s="695">
        <v>5513.96</v>
      </c>
      <c r="L36" s="683">
        <v>40938</v>
      </c>
      <c r="M36" s="707">
        <v>7166.71</v>
      </c>
      <c r="N36" s="683">
        <v>41302</v>
      </c>
      <c r="O36" s="686">
        <v>4823.8500000000004</v>
      </c>
      <c r="P36" s="689">
        <v>41666</v>
      </c>
      <c r="Q36" s="686">
        <v>9735.9500000000007</v>
      </c>
      <c r="R36" s="635">
        <f>R34+1</f>
        <v>42030</v>
      </c>
      <c r="S36" s="718">
        <v>1554.05</v>
      </c>
      <c r="T36" s="635">
        <f>T34+1</f>
        <v>42401</v>
      </c>
      <c r="U36" s="718">
        <v>7883.65</v>
      </c>
      <c r="V36" s="635">
        <f>V34+1</f>
        <v>42765</v>
      </c>
      <c r="W36" s="717">
        <v>10707.35</v>
      </c>
      <c r="X36" s="635">
        <f>X34+1</f>
        <v>43129</v>
      </c>
      <c r="Y36" s="717">
        <v>10918.69</v>
      </c>
      <c r="Z36" s="635">
        <f>Z34+1</f>
        <v>43493</v>
      </c>
      <c r="AA36" s="717">
        <v>7743.64</v>
      </c>
      <c r="AB36" s="635">
        <f>AB34+1</f>
        <v>43857</v>
      </c>
      <c r="AC36" s="717">
        <v>15622.22</v>
      </c>
      <c r="AD36" s="863" t="s">
        <v>114</v>
      </c>
      <c r="AJ36" s="751">
        <v>1500</v>
      </c>
      <c r="AK36" s="752">
        <v>4000</v>
      </c>
      <c r="AL36" s="752"/>
      <c r="AM36" s="762">
        <f t="shared" ref="AM36:AM42" si="52">SUM(AJ36:AL36)</f>
        <v>5500</v>
      </c>
      <c r="AN36" s="763">
        <f>AN34+1</f>
        <v>44221</v>
      </c>
    </row>
    <row r="37" spans="1:40">
      <c r="A37" s="7">
        <v>2</v>
      </c>
      <c r="B37">
        <v>1</v>
      </c>
      <c r="C37" t="s">
        <v>104</v>
      </c>
      <c r="D37" s="697">
        <v>39476</v>
      </c>
      <c r="E37" s="695">
        <v>18330.439999999999</v>
      </c>
      <c r="F37" s="697">
        <v>39840</v>
      </c>
      <c r="G37" s="695">
        <v>10223.02</v>
      </c>
      <c r="H37" s="697">
        <v>40204</v>
      </c>
      <c r="I37" s="695">
        <v>12124.71</v>
      </c>
      <c r="J37" s="683">
        <v>40568</v>
      </c>
      <c r="K37" s="695">
        <v>11811.68</v>
      </c>
      <c r="L37" s="683">
        <v>40939</v>
      </c>
      <c r="M37" s="707">
        <v>9643.75</v>
      </c>
      <c r="N37" s="683">
        <v>41303</v>
      </c>
      <c r="O37" s="686">
        <v>12242.06</v>
      </c>
      <c r="P37" s="689">
        <v>41667</v>
      </c>
      <c r="Q37" s="686">
        <v>9937.5499999999993</v>
      </c>
      <c r="R37" s="689">
        <f>R36+1</f>
        <v>42031</v>
      </c>
      <c r="S37" s="719">
        <v>2798.66</v>
      </c>
      <c r="T37" s="689">
        <f>T36+1</f>
        <v>42402</v>
      </c>
      <c r="U37" s="719">
        <v>12537.31</v>
      </c>
      <c r="V37" s="689">
        <f>V36+1</f>
        <v>42766</v>
      </c>
      <c r="W37" s="718">
        <v>5539.15</v>
      </c>
      <c r="X37" s="689">
        <f>X36+1</f>
        <v>43130</v>
      </c>
      <c r="Y37" s="718">
        <v>10530.37</v>
      </c>
      <c r="Z37" s="689">
        <f>Z36+1</f>
        <v>43494</v>
      </c>
      <c r="AA37" s="718">
        <v>10452.16</v>
      </c>
      <c r="AB37" s="689">
        <f>AB36+1</f>
        <v>43858</v>
      </c>
      <c r="AC37" s="718">
        <v>13599.94</v>
      </c>
      <c r="AD37" s="864"/>
      <c r="AJ37" s="751">
        <v>1700</v>
      </c>
      <c r="AK37" s="752">
        <v>4000</v>
      </c>
      <c r="AL37" s="753"/>
      <c r="AM37" s="762">
        <f t="shared" si="52"/>
        <v>5700</v>
      </c>
      <c r="AN37" s="763">
        <f>AN36+1</f>
        <v>44222</v>
      </c>
    </row>
    <row r="38" spans="1:40">
      <c r="A38" s="7">
        <v>2</v>
      </c>
      <c r="B38">
        <v>1</v>
      </c>
      <c r="C38" t="s">
        <v>105</v>
      </c>
      <c r="D38" s="697">
        <v>39477</v>
      </c>
      <c r="E38" s="695">
        <v>16565.12</v>
      </c>
      <c r="F38" s="697">
        <v>39841</v>
      </c>
      <c r="G38" s="695">
        <v>5665.35</v>
      </c>
      <c r="H38" s="697">
        <v>40205</v>
      </c>
      <c r="I38" s="695">
        <v>8841.74</v>
      </c>
      <c r="J38" s="683">
        <v>40569</v>
      </c>
      <c r="K38" s="695">
        <v>7080.61</v>
      </c>
      <c r="L38" s="683">
        <v>40940</v>
      </c>
      <c r="M38" s="707">
        <v>11335.55</v>
      </c>
      <c r="N38" s="683">
        <v>41304</v>
      </c>
      <c r="O38" s="686">
        <v>10867.75</v>
      </c>
      <c r="P38" s="689">
        <v>41668</v>
      </c>
      <c r="Q38" s="686">
        <v>10625.86</v>
      </c>
      <c r="R38" s="689">
        <f t="shared" ref="R38:T42" si="53">R37+1</f>
        <v>42032</v>
      </c>
      <c r="S38" s="719">
        <v>5762.45</v>
      </c>
      <c r="T38" s="689">
        <f t="shared" si="53"/>
        <v>42403</v>
      </c>
      <c r="U38" s="719">
        <v>10730.25</v>
      </c>
      <c r="V38" s="689">
        <f t="shared" ref="V38:Z38" si="54">V37+1</f>
        <v>42767</v>
      </c>
      <c r="W38" s="719">
        <v>13495.85</v>
      </c>
      <c r="X38" s="689">
        <f t="shared" ref="X38" si="55">X37+1</f>
        <v>43131</v>
      </c>
      <c r="Y38" s="719">
        <v>14052.77</v>
      </c>
      <c r="Z38" s="689">
        <f t="shared" si="54"/>
        <v>43495</v>
      </c>
      <c r="AA38" s="719">
        <v>8382.8799999999992</v>
      </c>
      <c r="AB38" s="689">
        <f t="shared" ref="AB38" si="56">AB37+1</f>
        <v>43859</v>
      </c>
      <c r="AC38" s="719">
        <v>14702.83</v>
      </c>
      <c r="AD38" s="864"/>
      <c r="AJ38" s="751">
        <v>1700</v>
      </c>
      <c r="AK38" s="752">
        <v>8500</v>
      </c>
      <c r="AL38" s="753"/>
      <c r="AM38" s="762">
        <f t="shared" si="52"/>
        <v>10200</v>
      </c>
      <c r="AN38" s="763">
        <f>AN37+1</f>
        <v>44223</v>
      </c>
    </row>
    <row r="39" spans="1:40">
      <c r="A39" s="7">
        <v>2</v>
      </c>
      <c r="B39">
        <v>1</v>
      </c>
      <c r="C39" t="s">
        <v>106</v>
      </c>
      <c r="D39" s="697">
        <v>39478</v>
      </c>
      <c r="E39" s="695">
        <v>19402.75</v>
      </c>
      <c r="F39" s="697">
        <v>39842</v>
      </c>
      <c r="G39" s="695">
        <v>13125.99</v>
      </c>
      <c r="H39" s="697">
        <v>40206</v>
      </c>
      <c r="I39" s="695">
        <v>12483.05</v>
      </c>
      <c r="J39" s="683">
        <v>40570</v>
      </c>
      <c r="K39" s="695">
        <v>8629.1</v>
      </c>
      <c r="L39" s="683">
        <v>40941</v>
      </c>
      <c r="M39" s="707">
        <v>10367.4</v>
      </c>
      <c r="N39" s="683">
        <v>41305</v>
      </c>
      <c r="O39" s="686">
        <v>12123.21</v>
      </c>
      <c r="P39" s="689">
        <v>41669</v>
      </c>
      <c r="Q39" s="686">
        <v>14125.75</v>
      </c>
      <c r="R39" s="689">
        <f t="shared" si="53"/>
        <v>42033</v>
      </c>
      <c r="S39" s="719">
        <v>12671.35</v>
      </c>
      <c r="T39" s="689">
        <f t="shared" si="53"/>
        <v>42404</v>
      </c>
      <c r="U39" s="719">
        <v>14577.78</v>
      </c>
      <c r="V39" s="689">
        <f t="shared" ref="V39:Z39" si="57">V38+1</f>
        <v>42768</v>
      </c>
      <c r="W39" s="719">
        <v>14186.25</v>
      </c>
      <c r="X39" s="689">
        <f t="shared" ref="X39" si="58">X38+1</f>
        <v>43132</v>
      </c>
      <c r="Y39" s="719">
        <v>12230.29</v>
      </c>
      <c r="Z39" s="689">
        <f t="shared" si="57"/>
        <v>43496</v>
      </c>
      <c r="AA39" s="719">
        <v>16739.7</v>
      </c>
      <c r="AB39" s="689">
        <f t="shared" ref="AB39" si="59">AB38+1</f>
        <v>43860</v>
      </c>
      <c r="AC39" s="719">
        <v>19324.75</v>
      </c>
      <c r="AD39" s="864"/>
      <c r="AJ39" s="751">
        <v>1700</v>
      </c>
      <c r="AK39" s="752">
        <v>5000</v>
      </c>
      <c r="AL39" s="753"/>
      <c r="AM39" s="762">
        <f t="shared" si="52"/>
        <v>6700</v>
      </c>
      <c r="AN39" s="763">
        <f t="shared" ref="AN39:AN42" si="60">AN38+1</f>
        <v>44224</v>
      </c>
    </row>
    <row r="40" spans="1:40">
      <c r="A40" s="7">
        <v>2</v>
      </c>
      <c r="B40">
        <v>1</v>
      </c>
      <c r="C40" t="s">
        <v>107</v>
      </c>
      <c r="D40" s="697">
        <v>39479</v>
      </c>
      <c r="E40" s="695">
        <v>18542.490000000002</v>
      </c>
      <c r="F40" s="697">
        <v>39843</v>
      </c>
      <c r="G40" s="695">
        <v>17476</v>
      </c>
      <c r="H40" s="697">
        <v>40207</v>
      </c>
      <c r="I40" s="695">
        <v>17441.759999999998</v>
      </c>
      <c r="J40" s="683">
        <v>40571</v>
      </c>
      <c r="K40" s="695">
        <v>14535.55</v>
      </c>
      <c r="L40" s="683">
        <v>40942</v>
      </c>
      <c r="M40" s="707">
        <v>15865.21</v>
      </c>
      <c r="N40" s="683">
        <v>41306</v>
      </c>
      <c r="O40" s="686">
        <v>19132.12</v>
      </c>
      <c r="P40" s="689">
        <v>41670</v>
      </c>
      <c r="Q40" s="686">
        <v>19872.75</v>
      </c>
      <c r="R40" s="689">
        <f t="shared" si="53"/>
        <v>42034</v>
      </c>
      <c r="S40" s="719">
        <v>16659.73</v>
      </c>
      <c r="T40" s="689">
        <f t="shared" si="53"/>
        <v>42405</v>
      </c>
      <c r="U40" s="719">
        <v>13179.9</v>
      </c>
      <c r="V40" s="689">
        <f t="shared" ref="V40:Z40" si="61">V39+1</f>
        <v>42769</v>
      </c>
      <c r="W40" s="719">
        <v>20711.3</v>
      </c>
      <c r="X40" s="689">
        <f t="shared" ref="X40" si="62">X39+1</f>
        <v>43133</v>
      </c>
      <c r="Y40" s="719">
        <v>22555.57</v>
      </c>
      <c r="Z40" s="689">
        <f t="shared" si="61"/>
        <v>43497</v>
      </c>
      <c r="AA40" s="719">
        <v>19800.57</v>
      </c>
      <c r="AB40" s="689">
        <f t="shared" ref="AB40" si="63">AB39+1</f>
        <v>43861</v>
      </c>
      <c r="AC40" s="719">
        <v>23625.42</v>
      </c>
      <c r="AD40" s="864"/>
      <c r="AJ40" s="751">
        <v>2500</v>
      </c>
      <c r="AK40" s="752">
        <v>15000</v>
      </c>
      <c r="AL40" s="753">
        <v>1800</v>
      </c>
      <c r="AM40" s="762">
        <f t="shared" si="52"/>
        <v>19300</v>
      </c>
      <c r="AN40" s="763">
        <f t="shared" si="60"/>
        <v>44225</v>
      </c>
    </row>
    <row r="41" spans="1:40">
      <c r="A41" s="7">
        <v>2</v>
      </c>
      <c r="B41">
        <v>1</v>
      </c>
      <c r="C41" t="s">
        <v>108</v>
      </c>
      <c r="D41" s="697">
        <v>39480</v>
      </c>
      <c r="E41" s="695">
        <v>26444.5</v>
      </c>
      <c r="F41" s="697">
        <v>39844</v>
      </c>
      <c r="G41" s="695">
        <v>20325.900000000001</v>
      </c>
      <c r="H41" s="697">
        <v>40208</v>
      </c>
      <c r="I41" s="695">
        <v>21531.01</v>
      </c>
      <c r="J41" s="683">
        <v>40572</v>
      </c>
      <c r="K41" s="695">
        <v>20169.189999999999</v>
      </c>
      <c r="L41" s="683">
        <v>40943</v>
      </c>
      <c r="M41" s="707">
        <v>21128.86</v>
      </c>
      <c r="N41" s="683">
        <v>41307</v>
      </c>
      <c r="O41" s="686">
        <v>21921.360000000001</v>
      </c>
      <c r="P41" s="689">
        <v>41671</v>
      </c>
      <c r="Q41" s="686">
        <v>22742.5</v>
      </c>
      <c r="R41" s="689">
        <f t="shared" si="53"/>
        <v>42035</v>
      </c>
      <c r="S41" s="719">
        <v>23602.51</v>
      </c>
      <c r="T41" s="689">
        <f t="shared" si="53"/>
        <v>42406</v>
      </c>
      <c r="U41" s="719">
        <v>22983.37</v>
      </c>
      <c r="V41" s="689">
        <f t="shared" ref="V41:Z41" si="64">V40+1</f>
        <v>42770</v>
      </c>
      <c r="W41" s="719">
        <v>22677.31</v>
      </c>
      <c r="X41" s="689">
        <f t="shared" ref="X41" si="65">X40+1</f>
        <v>43134</v>
      </c>
      <c r="Y41" s="719">
        <v>24619.79</v>
      </c>
      <c r="Z41" s="689">
        <f t="shared" si="64"/>
        <v>43498</v>
      </c>
      <c r="AA41" s="719">
        <v>21391.71</v>
      </c>
      <c r="AB41" s="689">
        <f t="shared" ref="AB41" si="66">AB40+1</f>
        <v>43862</v>
      </c>
      <c r="AC41" s="719">
        <v>25822.87</v>
      </c>
      <c r="AD41" s="864"/>
      <c r="AJ41" s="751">
        <v>3000</v>
      </c>
      <c r="AK41" s="752">
        <v>15500</v>
      </c>
      <c r="AL41" s="753"/>
      <c r="AM41" s="762">
        <f t="shared" si="52"/>
        <v>18500</v>
      </c>
      <c r="AN41" s="763">
        <f t="shared" si="60"/>
        <v>44226</v>
      </c>
    </row>
    <row r="42" spans="1:40" ht="15.75" thickBot="1">
      <c r="A42" s="12">
        <v>2</v>
      </c>
      <c r="B42" s="14">
        <v>1</v>
      </c>
      <c r="C42" s="14" t="s">
        <v>109</v>
      </c>
      <c r="D42" s="699">
        <v>39481</v>
      </c>
      <c r="E42" s="695">
        <v>4127.79</v>
      </c>
      <c r="F42" s="699">
        <v>39845</v>
      </c>
      <c r="G42" s="695">
        <v>1763.01</v>
      </c>
      <c r="H42" s="699">
        <v>40209</v>
      </c>
      <c r="I42" s="695">
        <v>4649.49</v>
      </c>
      <c r="J42" s="700">
        <v>40573</v>
      </c>
      <c r="K42" s="695">
        <v>4461.79</v>
      </c>
      <c r="L42" s="683">
        <v>40944</v>
      </c>
      <c r="M42" s="707">
        <v>0</v>
      </c>
      <c r="N42" s="683">
        <v>41308</v>
      </c>
      <c r="O42" s="686">
        <v>2899.9</v>
      </c>
      <c r="P42" s="689">
        <v>41672</v>
      </c>
      <c r="Q42" s="686">
        <v>2858.7</v>
      </c>
      <c r="R42" s="761">
        <f t="shared" si="53"/>
        <v>42036</v>
      </c>
      <c r="S42" s="723">
        <v>0</v>
      </c>
      <c r="T42" s="761">
        <f t="shared" si="53"/>
        <v>42407</v>
      </c>
      <c r="U42" s="723">
        <v>4198.2</v>
      </c>
      <c r="V42" s="761">
        <f t="shared" ref="V42:Z42" si="67">V41+1</f>
        <v>42771</v>
      </c>
      <c r="W42" s="720">
        <v>4814.46</v>
      </c>
      <c r="X42" s="761">
        <f t="shared" ref="X42" si="68">X41+1</f>
        <v>43135</v>
      </c>
      <c r="Y42" s="720">
        <v>4011.6</v>
      </c>
      <c r="Z42" s="761">
        <f t="shared" si="67"/>
        <v>43499</v>
      </c>
      <c r="AA42" s="720"/>
      <c r="AB42" s="761">
        <f t="shared" ref="AB42" si="69">AB41+1</f>
        <v>43863</v>
      </c>
      <c r="AC42" s="720">
        <v>4758.9399999999996</v>
      </c>
      <c r="AD42" s="865"/>
      <c r="AE42" s="203">
        <f>SUM(E36:E42)</f>
        <v>113993.87999999999</v>
      </c>
      <c r="AF42" s="203">
        <f>SUM(G36:G42)</f>
        <v>75051.7</v>
      </c>
      <c r="AG42" s="203">
        <f>SUM(I36:I42)</f>
        <v>86537.17</v>
      </c>
      <c r="AH42" s="203">
        <f>SUM(K36:K42)</f>
        <v>72201.87999999999</v>
      </c>
      <c r="AI42" s="203">
        <f>SUM(M36:M42)</f>
        <v>75507.48</v>
      </c>
      <c r="AJ42" s="751">
        <v>5000</v>
      </c>
      <c r="AK42" s="752">
        <v>3000</v>
      </c>
      <c r="AL42" s="754"/>
      <c r="AM42" s="762">
        <f t="shared" si="52"/>
        <v>8000</v>
      </c>
      <c r="AN42" s="763">
        <f t="shared" si="60"/>
        <v>44227</v>
      </c>
    </row>
    <row r="43" spans="1:40" s="428" customFormat="1" ht="15.75" thickBot="1">
      <c r="A43" s="486"/>
      <c r="C43" s="809" t="s">
        <v>282</v>
      </c>
      <c r="D43" s="810"/>
      <c r="E43" s="811"/>
      <c r="F43" s="810"/>
      <c r="G43" s="811"/>
      <c r="H43" s="810"/>
      <c r="I43" s="811"/>
      <c r="J43" s="812"/>
      <c r="K43" s="813"/>
      <c r="L43" s="812"/>
      <c r="M43" s="813"/>
      <c r="N43" s="812"/>
      <c r="O43" s="814">
        <f>SUM(O36:O42)</f>
        <v>84010.249999999985</v>
      </c>
      <c r="P43" s="812"/>
      <c r="Q43" s="814">
        <f>SUM(Q36:Q42)</f>
        <v>89899.06</v>
      </c>
      <c r="R43" s="815"/>
      <c r="S43" s="816">
        <f>SUM(S36:S42)</f>
        <v>63048.75</v>
      </c>
      <c r="T43" s="815"/>
      <c r="U43" s="816">
        <f>SUM(U36:U42)</f>
        <v>86090.459999999992</v>
      </c>
      <c r="V43" s="815"/>
      <c r="W43" s="816">
        <f>SUM(W36:W42)</f>
        <v>92131.67</v>
      </c>
      <c r="X43" s="815"/>
      <c r="Y43" s="816">
        <f>SUM(Y36:Y42)</f>
        <v>98919.080000000016</v>
      </c>
      <c r="Z43" s="815"/>
      <c r="AA43" s="816">
        <f>SUM(AA36:AA42)</f>
        <v>84510.66</v>
      </c>
      <c r="AB43" s="815"/>
      <c r="AC43" s="816">
        <f>SUM(AC36:AC42)</f>
        <v>117456.97</v>
      </c>
      <c r="AD43" s="758"/>
      <c r="AE43" s="822"/>
      <c r="AF43" s="822"/>
      <c r="AG43" s="822"/>
      <c r="AH43" s="822"/>
      <c r="AI43" s="822"/>
      <c r="AJ43" s="820">
        <f>SUM(AJ36:AJ42)</f>
        <v>17100</v>
      </c>
      <c r="AK43" s="823">
        <f>SUM(AK36:AK42)</f>
        <v>55000</v>
      </c>
      <c r="AL43" s="823">
        <f>SUM(AL36:AL42)</f>
        <v>1800</v>
      </c>
      <c r="AM43" s="821">
        <f>SUM(AM36:AM42)</f>
        <v>73900</v>
      </c>
    </row>
    <row r="44" spans="1:40">
      <c r="A44" s="5">
        <v>2</v>
      </c>
      <c r="B44" s="16">
        <v>2</v>
      </c>
      <c r="C44" s="16" t="s">
        <v>103</v>
      </c>
      <c r="D44" s="694">
        <v>39482</v>
      </c>
      <c r="E44" s="695">
        <v>7104.44</v>
      </c>
      <c r="F44" s="694">
        <v>39846</v>
      </c>
      <c r="G44" s="695">
        <v>8009.06</v>
      </c>
      <c r="H44" s="694">
        <v>40210</v>
      </c>
      <c r="I44" s="695">
        <v>4798.41</v>
      </c>
      <c r="J44" s="701">
        <v>40574</v>
      </c>
      <c r="K44" s="695">
        <v>9269.8799999999992</v>
      </c>
      <c r="L44" s="683">
        <v>40945</v>
      </c>
      <c r="M44" s="707">
        <v>7715.21</v>
      </c>
      <c r="N44" s="683">
        <v>41309</v>
      </c>
      <c r="O44" s="686">
        <v>8600.94</v>
      </c>
      <c r="P44" s="689">
        <v>41673</v>
      </c>
      <c r="Q44" s="686">
        <v>3532.1</v>
      </c>
      <c r="R44" s="635">
        <f>R42+1</f>
        <v>42037</v>
      </c>
      <c r="S44" s="717">
        <v>133</v>
      </c>
      <c r="T44" s="635">
        <f>T42+1</f>
        <v>42408</v>
      </c>
      <c r="U44" s="718">
        <v>3194.95</v>
      </c>
      <c r="V44" s="635">
        <f>V42+1</f>
        <v>42772</v>
      </c>
      <c r="W44" s="717">
        <v>9682.7099999999991</v>
      </c>
      <c r="X44" s="635">
        <f>X42+1</f>
        <v>43136</v>
      </c>
      <c r="Y44" s="717">
        <v>6826.27</v>
      </c>
      <c r="Z44" s="635">
        <f>Z42+1</f>
        <v>43500</v>
      </c>
      <c r="AA44" s="717">
        <v>7452.14</v>
      </c>
      <c r="AB44" s="635">
        <f>AB42+1</f>
        <v>43864</v>
      </c>
      <c r="AC44" s="717">
        <v>8338.65</v>
      </c>
      <c r="AD44" s="863" t="s">
        <v>115</v>
      </c>
      <c r="AJ44" s="751">
        <v>1500</v>
      </c>
      <c r="AK44" s="752">
        <v>4000</v>
      </c>
      <c r="AL44" s="752"/>
      <c r="AM44" s="762">
        <f t="shared" ref="AM44:AM50" si="70">SUM(AJ44:AL44)</f>
        <v>5500</v>
      </c>
      <c r="AN44" s="763">
        <f>AN42+1</f>
        <v>44228</v>
      </c>
    </row>
    <row r="45" spans="1:40">
      <c r="A45" s="7">
        <v>2</v>
      </c>
      <c r="B45">
        <v>2</v>
      </c>
      <c r="C45" t="s">
        <v>104</v>
      </c>
      <c r="D45" s="697">
        <v>39483</v>
      </c>
      <c r="E45" s="695">
        <v>11449.26</v>
      </c>
      <c r="F45" s="697">
        <v>39847</v>
      </c>
      <c r="G45" s="695">
        <v>5437.21</v>
      </c>
      <c r="H45" s="697">
        <v>40211</v>
      </c>
      <c r="I45" s="695">
        <v>12613.14</v>
      </c>
      <c r="J45" s="683">
        <v>40575</v>
      </c>
      <c r="K45" s="695">
        <v>4785.75</v>
      </c>
      <c r="L45" s="683">
        <v>40946</v>
      </c>
      <c r="M45" s="707">
        <v>10697.4</v>
      </c>
      <c r="N45" s="683">
        <v>41310</v>
      </c>
      <c r="O45" s="686">
        <v>10125</v>
      </c>
      <c r="P45" s="689">
        <v>41674</v>
      </c>
      <c r="Q45" s="686">
        <v>7203.9</v>
      </c>
      <c r="R45" s="689">
        <f>R44+1</f>
        <v>42038</v>
      </c>
      <c r="S45" s="719">
        <v>8142.35</v>
      </c>
      <c r="T45" s="689">
        <f>T44+1</f>
        <v>42409</v>
      </c>
      <c r="U45" s="719">
        <v>7072.15</v>
      </c>
      <c r="V45" s="689">
        <f>V44+1</f>
        <v>42773</v>
      </c>
      <c r="W45" s="718">
        <v>5914.8</v>
      </c>
      <c r="X45" s="689">
        <f>X44+1</f>
        <v>43137</v>
      </c>
      <c r="Y45" s="718">
        <v>12891.44</v>
      </c>
      <c r="Z45" s="689">
        <f>Z44+1</f>
        <v>43501</v>
      </c>
      <c r="AA45" s="718">
        <v>10469.86</v>
      </c>
      <c r="AB45" s="689">
        <f>AB44+1</f>
        <v>43865</v>
      </c>
      <c r="AC45" s="718">
        <v>15205.94</v>
      </c>
      <c r="AD45" s="864"/>
      <c r="AJ45" s="751">
        <v>1700</v>
      </c>
      <c r="AK45" s="752">
        <v>4000</v>
      </c>
      <c r="AL45" s="753"/>
      <c r="AM45" s="762">
        <f t="shared" si="70"/>
        <v>5700</v>
      </c>
      <c r="AN45" s="763">
        <f>AN44+1</f>
        <v>44229</v>
      </c>
    </row>
    <row r="46" spans="1:40">
      <c r="A46" s="7">
        <v>2</v>
      </c>
      <c r="B46">
        <v>2</v>
      </c>
      <c r="C46" t="s">
        <v>105</v>
      </c>
      <c r="D46" s="697">
        <v>39484</v>
      </c>
      <c r="E46" s="695">
        <v>16612.66</v>
      </c>
      <c r="F46" s="697">
        <v>39848</v>
      </c>
      <c r="G46" s="695">
        <v>12853.23</v>
      </c>
      <c r="H46" s="697">
        <v>40212</v>
      </c>
      <c r="I46" s="695">
        <v>11530.8</v>
      </c>
      <c r="J46" s="683">
        <v>40576</v>
      </c>
      <c r="K46" s="695">
        <v>6028.15</v>
      </c>
      <c r="L46" s="683">
        <v>40947</v>
      </c>
      <c r="M46" s="707">
        <v>10685</v>
      </c>
      <c r="N46" s="683">
        <v>41311</v>
      </c>
      <c r="O46" s="686">
        <v>9735.2000000000007</v>
      </c>
      <c r="P46" s="689">
        <v>41675</v>
      </c>
      <c r="Q46" s="686">
        <v>2876.25</v>
      </c>
      <c r="R46" s="689">
        <f t="shared" ref="R46:T50" si="71">R45+1</f>
        <v>42039</v>
      </c>
      <c r="S46" s="719">
        <v>9566.65</v>
      </c>
      <c r="T46" s="689">
        <f t="shared" si="71"/>
        <v>42410</v>
      </c>
      <c r="U46" s="719">
        <v>13857</v>
      </c>
      <c r="V46" s="689">
        <f t="shared" ref="V46:Z46" si="72">V45+1</f>
        <v>42774</v>
      </c>
      <c r="W46" s="719">
        <v>10862.45</v>
      </c>
      <c r="X46" s="689">
        <f t="shared" ref="X46" si="73">X45+1</f>
        <v>43138</v>
      </c>
      <c r="Y46" s="719">
        <v>296</v>
      </c>
      <c r="Z46" s="689">
        <f t="shared" si="72"/>
        <v>43502</v>
      </c>
      <c r="AA46" s="719">
        <v>13906.42</v>
      </c>
      <c r="AB46" s="689">
        <f t="shared" ref="AB46" si="74">AB45+1</f>
        <v>43866</v>
      </c>
      <c r="AC46" s="719">
        <v>14974.77</v>
      </c>
      <c r="AD46" s="864"/>
      <c r="AJ46" s="751">
        <v>1700</v>
      </c>
      <c r="AK46" s="752">
        <v>8500</v>
      </c>
      <c r="AL46" s="753"/>
      <c r="AM46" s="762">
        <f t="shared" si="70"/>
        <v>10200</v>
      </c>
      <c r="AN46" s="763">
        <f t="shared" ref="AN46:AN50" si="75">AN45+1</f>
        <v>44230</v>
      </c>
    </row>
    <row r="47" spans="1:40">
      <c r="A47" s="7">
        <v>2</v>
      </c>
      <c r="B47">
        <v>2</v>
      </c>
      <c r="C47" t="s">
        <v>106</v>
      </c>
      <c r="D47" s="697">
        <v>39485</v>
      </c>
      <c r="E47" s="695">
        <v>18431.07</v>
      </c>
      <c r="F47" s="697">
        <v>39849</v>
      </c>
      <c r="G47" s="695">
        <v>14074.36</v>
      </c>
      <c r="H47" s="697">
        <v>40213</v>
      </c>
      <c r="I47" s="695">
        <v>13783.4</v>
      </c>
      <c r="J47" s="683">
        <v>40577</v>
      </c>
      <c r="K47" s="695">
        <v>7514.1</v>
      </c>
      <c r="L47" s="683">
        <v>40948</v>
      </c>
      <c r="M47" s="707">
        <v>14088</v>
      </c>
      <c r="N47" s="683">
        <v>41312</v>
      </c>
      <c r="O47" s="686">
        <v>10294.4</v>
      </c>
      <c r="P47" s="689">
        <v>41676</v>
      </c>
      <c r="Q47" s="686">
        <v>11682.25</v>
      </c>
      <c r="R47" s="689">
        <f t="shared" si="71"/>
        <v>42040</v>
      </c>
      <c r="S47" s="719">
        <v>7533.6</v>
      </c>
      <c r="T47" s="689">
        <f t="shared" si="71"/>
        <v>42411</v>
      </c>
      <c r="U47" s="719">
        <v>15768.8</v>
      </c>
      <c r="V47" s="689">
        <f t="shared" ref="V47:Z47" si="76">V46+1</f>
        <v>42775</v>
      </c>
      <c r="W47" s="719"/>
      <c r="X47" s="689">
        <f t="shared" ref="X47" si="77">X46+1</f>
        <v>43139</v>
      </c>
      <c r="Y47" s="719">
        <v>12777.14</v>
      </c>
      <c r="Z47" s="689">
        <f t="shared" si="76"/>
        <v>43503</v>
      </c>
      <c r="AA47" s="719">
        <v>11667.99</v>
      </c>
      <c r="AB47" s="689">
        <f t="shared" ref="AB47" si="78">AB46+1</f>
        <v>43867</v>
      </c>
      <c r="AC47" s="719">
        <v>13079.97</v>
      </c>
      <c r="AD47" s="864"/>
      <c r="AJ47" s="751">
        <v>1700</v>
      </c>
      <c r="AK47" s="752">
        <v>5000</v>
      </c>
      <c r="AL47" s="753"/>
      <c r="AM47" s="762">
        <f t="shared" si="70"/>
        <v>6700</v>
      </c>
      <c r="AN47" s="763">
        <f t="shared" si="75"/>
        <v>44231</v>
      </c>
    </row>
    <row r="48" spans="1:40">
      <c r="A48" s="7">
        <v>2</v>
      </c>
      <c r="B48">
        <v>2</v>
      </c>
      <c r="C48" t="s">
        <v>107</v>
      </c>
      <c r="D48" s="697">
        <v>39486</v>
      </c>
      <c r="E48" s="695">
        <v>24467.95</v>
      </c>
      <c r="F48" s="697">
        <v>39850</v>
      </c>
      <c r="G48" s="695">
        <v>16742.82</v>
      </c>
      <c r="H48" s="697">
        <v>40214</v>
      </c>
      <c r="I48" s="695">
        <v>18181.490000000002</v>
      </c>
      <c r="J48" s="683">
        <v>40578</v>
      </c>
      <c r="K48" s="695">
        <v>21083.98</v>
      </c>
      <c r="L48" s="683">
        <v>40949</v>
      </c>
      <c r="M48" s="707">
        <v>21569.06</v>
      </c>
      <c r="N48" s="683">
        <v>41313</v>
      </c>
      <c r="O48" s="686">
        <v>0</v>
      </c>
      <c r="P48" s="689">
        <v>41677</v>
      </c>
      <c r="Q48" s="686">
        <v>17710.650000000001</v>
      </c>
      <c r="R48" s="689">
        <f t="shared" si="71"/>
        <v>42041</v>
      </c>
      <c r="S48" s="719">
        <v>21270.66</v>
      </c>
      <c r="T48" s="689">
        <f t="shared" si="71"/>
        <v>42412</v>
      </c>
      <c r="U48" s="719">
        <v>26154.5</v>
      </c>
      <c r="V48" s="689">
        <f t="shared" ref="V48:Z48" si="79">V47+1</f>
        <v>42776</v>
      </c>
      <c r="W48" s="719">
        <v>19202.25</v>
      </c>
      <c r="X48" s="689">
        <f t="shared" ref="X48" si="80">X47+1</f>
        <v>43140</v>
      </c>
      <c r="Y48" s="719">
        <v>21248.080000000002</v>
      </c>
      <c r="Z48" s="689">
        <f t="shared" si="79"/>
        <v>43504</v>
      </c>
      <c r="AA48" s="719">
        <v>19373.29</v>
      </c>
      <c r="AB48" s="689">
        <f t="shared" ref="AB48" si="81">AB47+1</f>
        <v>43868</v>
      </c>
      <c r="AC48" s="719">
        <v>23274.54</v>
      </c>
      <c r="AD48" s="864"/>
      <c r="AJ48" s="751">
        <v>2500</v>
      </c>
      <c r="AK48" s="752">
        <v>15000</v>
      </c>
      <c r="AL48" s="753"/>
      <c r="AM48" s="762">
        <f t="shared" si="70"/>
        <v>17500</v>
      </c>
      <c r="AN48" s="763">
        <f t="shared" si="75"/>
        <v>44232</v>
      </c>
    </row>
    <row r="49" spans="1:40">
      <c r="A49" s="7">
        <v>2</v>
      </c>
      <c r="B49">
        <v>2</v>
      </c>
      <c r="C49" t="s">
        <v>108</v>
      </c>
      <c r="D49" s="697">
        <v>39487</v>
      </c>
      <c r="E49" s="695">
        <v>24227.919999999998</v>
      </c>
      <c r="F49" s="697">
        <v>39851</v>
      </c>
      <c r="G49" s="695">
        <v>20442.43</v>
      </c>
      <c r="H49" s="697">
        <v>40215</v>
      </c>
      <c r="I49" s="695">
        <v>21922.84</v>
      </c>
      <c r="J49" s="683">
        <v>40579</v>
      </c>
      <c r="K49" s="695">
        <v>11857.03</v>
      </c>
      <c r="L49" s="683">
        <v>40950</v>
      </c>
      <c r="M49" s="707">
        <v>23762.23</v>
      </c>
      <c r="N49" s="683">
        <v>41314</v>
      </c>
      <c r="O49" s="686">
        <v>0</v>
      </c>
      <c r="P49" s="689">
        <v>41678</v>
      </c>
      <c r="Q49" s="686">
        <v>26020.7</v>
      </c>
      <c r="R49" s="689">
        <f t="shared" si="71"/>
        <v>42042</v>
      </c>
      <c r="S49" s="719">
        <v>20674.310000000001</v>
      </c>
      <c r="T49" s="689">
        <f t="shared" si="71"/>
        <v>42413</v>
      </c>
      <c r="U49" s="719">
        <v>32411.200000000001</v>
      </c>
      <c r="V49" s="689">
        <f t="shared" ref="V49:Z49" si="82">V48+1</f>
        <v>42777</v>
      </c>
      <c r="W49" s="719">
        <v>27514.91</v>
      </c>
      <c r="X49" s="689">
        <f t="shared" ref="X49" si="83">X48+1</f>
        <v>43141</v>
      </c>
      <c r="Y49" s="719">
        <v>26972.560000000001</v>
      </c>
      <c r="Z49" s="689">
        <f t="shared" si="82"/>
        <v>43505</v>
      </c>
      <c r="AA49" s="719">
        <v>20911.259999999998</v>
      </c>
      <c r="AB49" s="689">
        <f t="shared" ref="AB49" si="84">AB48+1</f>
        <v>43869</v>
      </c>
      <c r="AC49" s="719">
        <v>26269.03</v>
      </c>
      <c r="AD49" s="864"/>
      <c r="AJ49" s="751">
        <v>3000</v>
      </c>
      <c r="AK49" s="752">
        <v>15500</v>
      </c>
      <c r="AL49" s="753"/>
      <c r="AM49" s="762">
        <f t="shared" si="70"/>
        <v>18500</v>
      </c>
      <c r="AN49" s="763">
        <f t="shared" si="75"/>
        <v>44233</v>
      </c>
    </row>
    <row r="50" spans="1:40" ht="15.75" thickBot="1">
      <c r="A50" s="12">
        <v>2</v>
      </c>
      <c r="B50" s="14">
        <v>2</v>
      </c>
      <c r="C50" s="14" t="s">
        <v>109</v>
      </c>
      <c r="D50" s="699">
        <v>39488</v>
      </c>
      <c r="E50" s="695">
        <v>7227.42</v>
      </c>
      <c r="F50" s="699">
        <v>39852</v>
      </c>
      <c r="G50" s="695">
        <v>4453.1000000000004</v>
      </c>
      <c r="H50" s="699">
        <v>40216</v>
      </c>
      <c r="I50" s="710">
        <v>0</v>
      </c>
      <c r="J50" s="700">
        <v>40580</v>
      </c>
      <c r="K50" s="680">
        <v>0</v>
      </c>
      <c r="L50" s="683">
        <v>40951</v>
      </c>
      <c r="M50" s="680">
        <v>6880.85</v>
      </c>
      <c r="N50" s="683">
        <v>41315</v>
      </c>
      <c r="O50" s="685">
        <v>6917.7</v>
      </c>
      <c r="P50" s="689">
        <v>41679</v>
      </c>
      <c r="Q50" s="685">
        <v>8364.86</v>
      </c>
      <c r="R50" s="761">
        <f t="shared" si="71"/>
        <v>42043</v>
      </c>
      <c r="S50" s="723">
        <v>9259</v>
      </c>
      <c r="T50" s="761">
        <f t="shared" si="71"/>
        <v>42414</v>
      </c>
      <c r="U50" s="723">
        <v>37225.08</v>
      </c>
      <c r="V50" s="761">
        <f t="shared" ref="V50:Z50" si="85">V49+1</f>
        <v>42778</v>
      </c>
      <c r="W50" s="720">
        <v>4955.3100000000004</v>
      </c>
      <c r="X50" s="761">
        <f t="shared" ref="X50" si="86">X49+1</f>
        <v>43142</v>
      </c>
      <c r="Y50" s="720">
        <v>15031.62</v>
      </c>
      <c r="Z50" s="761">
        <f t="shared" si="85"/>
        <v>43506</v>
      </c>
      <c r="AA50" s="720">
        <v>11515.27</v>
      </c>
      <c r="AB50" s="761">
        <f t="shared" ref="AB50" si="87">AB49+1</f>
        <v>43870</v>
      </c>
      <c r="AC50" s="720">
        <v>10873.74</v>
      </c>
      <c r="AD50" s="865"/>
      <c r="AE50" s="203">
        <f>SUM(E44:E50)</f>
        <v>109520.72</v>
      </c>
      <c r="AF50" s="203">
        <f>SUM(G44:G50)</f>
        <v>82012.210000000006</v>
      </c>
      <c r="AG50" s="203">
        <f>SUM(I44:I50)</f>
        <v>82830.080000000002</v>
      </c>
      <c r="AH50" s="203">
        <f>SUM(K44:K50)</f>
        <v>60538.89</v>
      </c>
      <c r="AI50" s="203">
        <f>SUM(M44:M50)</f>
        <v>95397.75</v>
      </c>
      <c r="AJ50" s="751">
        <v>5000</v>
      </c>
      <c r="AK50" s="752"/>
      <c r="AL50" s="754">
        <v>1800</v>
      </c>
      <c r="AM50" s="762">
        <f t="shared" si="70"/>
        <v>6800</v>
      </c>
      <c r="AN50" s="763">
        <f t="shared" si="75"/>
        <v>44234</v>
      </c>
    </row>
    <row r="51" spans="1:40" s="428" customFormat="1" ht="15.75" thickBot="1">
      <c r="A51" s="486"/>
      <c r="C51" s="809" t="s">
        <v>282</v>
      </c>
      <c r="D51" s="810"/>
      <c r="E51" s="811"/>
      <c r="F51" s="810"/>
      <c r="G51" s="811"/>
      <c r="H51" s="810"/>
      <c r="I51" s="811"/>
      <c r="J51" s="812"/>
      <c r="K51" s="813"/>
      <c r="L51" s="812"/>
      <c r="M51" s="813"/>
      <c r="N51" s="812"/>
      <c r="O51" s="814">
        <f>SUM(O44:O50)</f>
        <v>45673.24</v>
      </c>
      <c r="P51" s="812"/>
      <c r="Q51" s="814">
        <f>SUM(Q44:Q50)</f>
        <v>77390.710000000006</v>
      </c>
      <c r="R51" s="815"/>
      <c r="S51" s="816">
        <f>SUM(S44:S50)</f>
        <v>76579.569999999992</v>
      </c>
      <c r="T51" s="815"/>
      <c r="U51" s="816">
        <f>SUM(U44:U50)</f>
        <v>135683.68</v>
      </c>
      <c r="V51" s="815"/>
      <c r="W51" s="816">
        <f>SUM(W44:W50)</f>
        <v>78132.429999999993</v>
      </c>
      <c r="X51" s="815"/>
      <c r="Y51" s="816">
        <f>SUM(Y44:Y50)</f>
        <v>96043.11</v>
      </c>
      <c r="Z51" s="815"/>
      <c r="AA51" s="816">
        <f>SUM(AA44:AA50)</f>
        <v>95296.23</v>
      </c>
      <c r="AB51" s="815"/>
      <c r="AC51" s="816">
        <f>SUM(AC44:AC50)</f>
        <v>112016.64</v>
      </c>
      <c r="AD51" s="758"/>
      <c r="AE51" s="822"/>
      <c r="AF51" s="822"/>
      <c r="AG51" s="822"/>
      <c r="AH51" s="822"/>
      <c r="AI51" s="822"/>
      <c r="AJ51" s="820">
        <f>SUM(AJ44:AJ50)</f>
        <v>17100</v>
      </c>
      <c r="AK51" s="823">
        <f>SUM(AK44:AK50)</f>
        <v>52000</v>
      </c>
      <c r="AL51" s="823">
        <f>SUM(AL44:AL50)</f>
        <v>1800</v>
      </c>
      <c r="AM51" s="821">
        <f>SUM(AM44:AM50)</f>
        <v>70900</v>
      </c>
    </row>
    <row r="52" spans="1:40">
      <c r="A52" s="5">
        <v>2</v>
      </c>
      <c r="B52" s="16">
        <v>3</v>
      </c>
      <c r="C52" s="16" t="s">
        <v>103</v>
      </c>
      <c r="D52" s="694">
        <v>39489</v>
      </c>
      <c r="E52" s="695">
        <v>12524.08</v>
      </c>
      <c r="F52" s="694">
        <v>39853</v>
      </c>
      <c r="G52" s="695">
        <v>8153.04</v>
      </c>
      <c r="H52" s="694">
        <v>40217</v>
      </c>
      <c r="I52" s="695">
        <v>9874.08</v>
      </c>
      <c r="J52" s="701">
        <v>40581</v>
      </c>
      <c r="K52" s="695">
        <v>8015.69</v>
      </c>
      <c r="L52" s="683">
        <v>40952</v>
      </c>
      <c r="M52" s="707">
        <v>10121.5</v>
      </c>
      <c r="N52" s="683">
        <v>41316</v>
      </c>
      <c r="O52" s="686">
        <v>4949.45</v>
      </c>
      <c r="P52" s="689">
        <v>41680</v>
      </c>
      <c r="Q52" s="686">
        <v>7292.8</v>
      </c>
      <c r="R52" s="635">
        <f>R50+1</f>
        <v>42044</v>
      </c>
      <c r="S52" s="717">
        <v>0</v>
      </c>
      <c r="T52" s="635">
        <f>T50+1</f>
        <v>42415</v>
      </c>
      <c r="U52" s="718">
        <v>8150.51</v>
      </c>
      <c r="V52" s="635">
        <f>V50+1</f>
        <v>42779</v>
      </c>
      <c r="W52" s="717">
        <v>13594.51</v>
      </c>
      <c r="X52" s="635">
        <f>X50+1</f>
        <v>43143</v>
      </c>
      <c r="Y52" s="717">
        <v>10614.1</v>
      </c>
      <c r="Z52" s="635">
        <f>Z50+1</f>
        <v>43507</v>
      </c>
      <c r="AA52" s="717">
        <v>8509.93</v>
      </c>
      <c r="AB52" s="635">
        <f>AB50+1</f>
        <v>43871</v>
      </c>
      <c r="AC52" s="717">
        <v>9237.7199999999993</v>
      </c>
      <c r="AD52" s="863" t="s">
        <v>116</v>
      </c>
      <c r="AJ52" s="751">
        <v>1500</v>
      </c>
      <c r="AK52" s="752">
        <v>4000</v>
      </c>
      <c r="AL52" s="752"/>
      <c r="AM52" s="762">
        <f t="shared" ref="AM52:AM58" si="88">SUM(AJ52:AL52)</f>
        <v>5500</v>
      </c>
      <c r="AN52" s="763">
        <f>AN50+1</f>
        <v>44235</v>
      </c>
    </row>
    <row r="53" spans="1:40">
      <c r="A53" s="7">
        <v>2</v>
      </c>
      <c r="B53">
        <v>3</v>
      </c>
      <c r="C53" t="s">
        <v>104</v>
      </c>
      <c r="D53" s="697">
        <v>39490</v>
      </c>
      <c r="E53" s="695">
        <v>12959.29</v>
      </c>
      <c r="F53" s="697">
        <v>39854</v>
      </c>
      <c r="G53" s="695">
        <v>8759.49</v>
      </c>
      <c r="H53" s="697">
        <v>40218</v>
      </c>
      <c r="I53" s="695">
        <v>9977.81</v>
      </c>
      <c r="J53" s="683">
        <v>40582</v>
      </c>
      <c r="K53" s="695">
        <v>9211.6299999999992</v>
      </c>
      <c r="L53" s="683">
        <v>40953</v>
      </c>
      <c r="M53" s="707">
        <v>26243.75</v>
      </c>
      <c r="N53" s="683">
        <v>41317</v>
      </c>
      <c r="O53" s="686">
        <v>11999.55</v>
      </c>
      <c r="P53" s="689">
        <v>41681</v>
      </c>
      <c r="Q53" s="686">
        <v>14677.75</v>
      </c>
      <c r="R53" s="689">
        <f>R52+1</f>
        <v>42045</v>
      </c>
      <c r="S53" s="719">
        <v>10033.77</v>
      </c>
      <c r="T53" s="689">
        <f>T52+1</f>
        <v>42416</v>
      </c>
      <c r="U53" s="719">
        <v>9465.9599999999991</v>
      </c>
      <c r="V53" s="689">
        <f>V52+1</f>
        <v>42780</v>
      </c>
      <c r="W53" s="718">
        <v>29368.36</v>
      </c>
      <c r="X53" s="689">
        <f>X52+1</f>
        <v>43144</v>
      </c>
      <c r="Y53" s="718">
        <v>15407.29</v>
      </c>
      <c r="Z53" s="689">
        <f>Z52+1</f>
        <v>43508</v>
      </c>
      <c r="AA53" s="718">
        <v>925.57</v>
      </c>
      <c r="AB53" s="689">
        <f>AB52+1</f>
        <v>43872</v>
      </c>
      <c r="AC53" s="718">
        <v>11219.3</v>
      </c>
      <c r="AD53" s="864"/>
      <c r="AJ53" s="751">
        <v>1700</v>
      </c>
      <c r="AK53" s="752">
        <v>4000</v>
      </c>
      <c r="AL53" s="753"/>
      <c r="AM53" s="762">
        <f t="shared" si="88"/>
        <v>5700</v>
      </c>
      <c r="AN53" s="763">
        <f>AN52+1</f>
        <v>44236</v>
      </c>
    </row>
    <row r="54" spans="1:40">
      <c r="A54" s="7">
        <v>2</v>
      </c>
      <c r="B54">
        <v>3</v>
      </c>
      <c r="C54" t="s">
        <v>105</v>
      </c>
      <c r="D54" s="697">
        <v>39491</v>
      </c>
      <c r="E54" s="695">
        <v>14824.43</v>
      </c>
      <c r="F54" s="697">
        <v>39855</v>
      </c>
      <c r="G54" s="695">
        <v>10907.18</v>
      </c>
      <c r="H54" s="697">
        <v>40219</v>
      </c>
      <c r="I54" s="710">
        <v>0</v>
      </c>
      <c r="J54" s="683">
        <v>40583</v>
      </c>
      <c r="K54" s="695">
        <v>13159.16</v>
      </c>
      <c r="L54" s="683">
        <v>40954</v>
      </c>
      <c r="M54" s="707">
        <v>16764.150000000001</v>
      </c>
      <c r="N54" s="683">
        <v>41318</v>
      </c>
      <c r="O54" s="686">
        <v>17356.91</v>
      </c>
      <c r="P54" s="689">
        <v>41682</v>
      </c>
      <c r="Q54" s="686">
        <v>13525.91</v>
      </c>
      <c r="R54" s="689">
        <f t="shared" ref="R54:T58" si="89">R53+1</f>
        <v>42046</v>
      </c>
      <c r="S54" s="719">
        <v>12828.6</v>
      </c>
      <c r="T54" s="689">
        <f t="shared" si="89"/>
        <v>42417</v>
      </c>
      <c r="U54" s="719">
        <v>12434.9</v>
      </c>
      <c r="V54" s="689">
        <f t="shared" ref="V54:Z54" si="90">V53+1</f>
        <v>42781</v>
      </c>
      <c r="W54" s="719">
        <v>13480.36</v>
      </c>
      <c r="X54" s="689">
        <f t="shared" ref="X54" si="91">X53+1</f>
        <v>43145</v>
      </c>
      <c r="Y54" s="719">
        <v>32599.16</v>
      </c>
      <c r="Z54" s="689">
        <f t="shared" si="90"/>
        <v>43509</v>
      </c>
      <c r="AA54" s="719">
        <v>16039.1</v>
      </c>
      <c r="AB54" s="689">
        <f t="shared" ref="AB54" si="92">AB53+1</f>
        <v>43873</v>
      </c>
      <c r="AC54" s="719">
        <v>15267.8</v>
      </c>
      <c r="AD54" s="864"/>
      <c r="AJ54" s="751">
        <v>1700</v>
      </c>
      <c r="AK54" s="752">
        <v>8500</v>
      </c>
      <c r="AL54" s="753"/>
      <c r="AM54" s="762">
        <f t="shared" si="88"/>
        <v>10200</v>
      </c>
      <c r="AN54" s="763">
        <f t="shared" ref="AN54:AN58" si="93">AN53+1</f>
        <v>44237</v>
      </c>
    </row>
    <row r="55" spans="1:40">
      <c r="A55" s="7">
        <v>2</v>
      </c>
      <c r="B55">
        <v>3</v>
      </c>
      <c r="C55" t="s">
        <v>106</v>
      </c>
      <c r="D55" s="697">
        <v>39492</v>
      </c>
      <c r="E55" s="695">
        <v>32770.629999999997</v>
      </c>
      <c r="F55" s="697">
        <v>39856</v>
      </c>
      <c r="G55" s="695">
        <v>12324.99</v>
      </c>
      <c r="H55" s="697">
        <v>40220</v>
      </c>
      <c r="I55" s="695">
        <v>11526.53</v>
      </c>
      <c r="J55" s="683">
        <v>40584</v>
      </c>
      <c r="K55" s="695">
        <v>10446.44</v>
      </c>
      <c r="L55" s="683">
        <v>40955</v>
      </c>
      <c r="M55" s="707">
        <v>14131.44</v>
      </c>
      <c r="N55" s="683">
        <v>41319</v>
      </c>
      <c r="O55" s="686">
        <v>31224.83</v>
      </c>
      <c r="P55" s="689">
        <v>41683</v>
      </c>
      <c r="Q55" s="686">
        <v>0</v>
      </c>
      <c r="R55" s="689">
        <f t="shared" si="89"/>
        <v>42047</v>
      </c>
      <c r="S55" s="719">
        <v>12853.75</v>
      </c>
      <c r="T55" s="689">
        <f t="shared" si="89"/>
        <v>42418</v>
      </c>
      <c r="U55" s="719">
        <v>15910.45</v>
      </c>
      <c r="V55" s="689">
        <f t="shared" ref="V55:Z55" si="94">V54+1</f>
        <v>42782</v>
      </c>
      <c r="W55" s="719">
        <v>20890.38</v>
      </c>
      <c r="X55" s="689">
        <f t="shared" ref="X55" si="95">X54+1</f>
        <v>43146</v>
      </c>
      <c r="Y55" s="719">
        <v>19686.77</v>
      </c>
      <c r="Z55" s="689">
        <f t="shared" si="94"/>
        <v>43510</v>
      </c>
      <c r="AA55" s="719">
        <v>30935.49</v>
      </c>
      <c r="AB55" s="689">
        <f t="shared" ref="AB55" si="96">AB54+1</f>
        <v>43874</v>
      </c>
      <c r="AC55" s="719">
        <v>17946.23</v>
      </c>
      <c r="AD55" s="864"/>
      <c r="AJ55" s="751">
        <v>1700</v>
      </c>
      <c r="AK55" s="752">
        <v>5000</v>
      </c>
      <c r="AL55" s="753"/>
      <c r="AM55" s="762">
        <f t="shared" si="88"/>
        <v>6700</v>
      </c>
      <c r="AN55" s="763">
        <f t="shared" si="93"/>
        <v>44238</v>
      </c>
    </row>
    <row r="56" spans="1:40">
      <c r="A56" s="7">
        <v>2</v>
      </c>
      <c r="B56">
        <v>3</v>
      </c>
      <c r="C56" t="s">
        <v>107</v>
      </c>
      <c r="D56" s="697">
        <v>39493</v>
      </c>
      <c r="E56" s="695">
        <v>25942.58</v>
      </c>
      <c r="F56" s="697">
        <v>39857</v>
      </c>
      <c r="G56" s="695">
        <v>22442.59</v>
      </c>
      <c r="H56" s="697">
        <v>40221</v>
      </c>
      <c r="I56" s="695">
        <v>19647.93</v>
      </c>
      <c r="J56" s="683">
        <v>40585</v>
      </c>
      <c r="K56" s="695">
        <v>20167</v>
      </c>
      <c r="L56" s="683">
        <v>40956</v>
      </c>
      <c r="M56" s="707">
        <v>17339.810000000001</v>
      </c>
      <c r="N56" s="683">
        <v>41320</v>
      </c>
      <c r="O56" s="686">
        <v>26548.9</v>
      </c>
      <c r="P56" s="689">
        <v>41684</v>
      </c>
      <c r="Q56" s="686">
        <v>33156.47</v>
      </c>
      <c r="R56" s="689">
        <f t="shared" si="89"/>
        <v>42048</v>
      </c>
      <c r="S56" s="719">
        <v>26141.599999999999</v>
      </c>
      <c r="T56" s="689">
        <f t="shared" si="89"/>
        <v>42419</v>
      </c>
      <c r="U56" s="719">
        <v>22083.82</v>
      </c>
      <c r="V56" s="689">
        <f t="shared" ref="V56:Z56" si="97">V55+1</f>
        <v>42783</v>
      </c>
      <c r="W56" s="719">
        <v>23919.599999999999</v>
      </c>
      <c r="X56" s="689">
        <f t="shared" ref="X56" si="98">X55+1</f>
        <v>43147</v>
      </c>
      <c r="Y56" s="719">
        <v>24634.65</v>
      </c>
      <c r="Z56" s="689">
        <f t="shared" si="97"/>
        <v>43511</v>
      </c>
      <c r="AA56" s="719">
        <v>24878.18</v>
      </c>
      <c r="AB56" s="689">
        <f t="shared" ref="AB56" si="99">AB55+1</f>
        <v>43875</v>
      </c>
      <c r="AC56" s="719">
        <v>40899.01</v>
      </c>
      <c r="AD56" s="864"/>
      <c r="AJ56" s="751">
        <v>3500</v>
      </c>
      <c r="AK56" s="752">
        <v>16000</v>
      </c>
      <c r="AL56" s="753">
        <v>2500</v>
      </c>
      <c r="AM56" s="762">
        <f t="shared" si="88"/>
        <v>22000</v>
      </c>
      <c r="AN56" s="763">
        <f t="shared" si="93"/>
        <v>44239</v>
      </c>
    </row>
    <row r="57" spans="1:40">
      <c r="A57" s="7">
        <v>2</v>
      </c>
      <c r="B57">
        <v>3</v>
      </c>
      <c r="C57" t="s">
        <v>108</v>
      </c>
      <c r="D57" s="697">
        <v>39494</v>
      </c>
      <c r="E57" s="695">
        <v>29110.94</v>
      </c>
      <c r="F57" s="697">
        <v>39858</v>
      </c>
      <c r="G57" s="695">
        <v>32068.67</v>
      </c>
      <c r="H57" s="697">
        <v>40222</v>
      </c>
      <c r="I57" s="695">
        <v>28168.11</v>
      </c>
      <c r="J57" s="683">
        <v>40586</v>
      </c>
      <c r="K57" s="695">
        <v>27848.16</v>
      </c>
      <c r="L57" s="683">
        <v>40957</v>
      </c>
      <c r="M57" s="707">
        <v>23043.96</v>
      </c>
      <c r="N57" s="683">
        <v>41321</v>
      </c>
      <c r="O57" s="686">
        <v>24826.71</v>
      </c>
      <c r="P57" s="689">
        <v>41685</v>
      </c>
      <c r="Q57" s="686">
        <v>16016.6</v>
      </c>
      <c r="R57" s="689">
        <f t="shared" si="89"/>
        <v>42049</v>
      </c>
      <c r="S57" s="719">
        <v>32753.66</v>
      </c>
      <c r="T57" s="689">
        <f t="shared" si="89"/>
        <v>42420</v>
      </c>
      <c r="U57" s="719">
        <v>27505.37</v>
      </c>
      <c r="V57" s="689">
        <f t="shared" ref="V57:Z57" si="100">V56+1</f>
        <v>42784</v>
      </c>
      <c r="W57" s="719">
        <v>26993.119999999999</v>
      </c>
      <c r="X57" s="689">
        <f t="shared" ref="X57" si="101">X56+1</f>
        <v>43148</v>
      </c>
      <c r="Y57" s="719">
        <v>23952.11</v>
      </c>
      <c r="Z57" s="689">
        <f t="shared" si="100"/>
        <v>43512</v>
      </c>
      <c r="AA57" s="719">
        <v>28948.44</v>
      </c>
      <c r="AB57" s="689">
        <f t="shared" ref="AB57" si="102">AB56+1</f>
        <v>43876</v>
      </c>
      <c r="AC57" s="719">
        <v>28264.06</v>
      </c>
      <c r="AD57" s="864"/>
      <c r="AJ57" s="751">
        <v>3000</v>
      </c>
      <c r="AK57" s="752">
        <v>17000</v>
      </c>
      <c r="AL57" s="753">
        <v>2500</v>
      </c>
      <c r="AM57" s="762">
        <f t="shared" si="88"/>
        <v>22500</v>
      </c>
      <c r="AN57" s="763">
        <f t="shared" si="93"/>
        <v>44240</v>
      </c>
    </row>
    <row r="58" spans="1:40" ht="15.75" thickBot="1">
      <c r="A58" s="7">
        <v>2</v>
      </c>
      <c r="B58">
        <v>3</v>
      </c>
      <c r="C58" t="s">
        <v>109</v>
      </c>
      <c r="D58" s="708">
        <v>39495</v>
      </c>
      <c r="E58" s="695">
        <v>11619.25</v>
      </c>
      <c r="F58" s="708">
        <v>39859</v>
      </c>
      <c r="G58" s="695">
        <v>10775.66</v>
      </c>
      <c r="H58" s="708">
        <v>40223</v>
      </c>
      <c r="I58" s="695">
        <v>25334.45</v>
      </c>
      <c r="J58" s="709">
        <v>40587</v>
      </c>
      <c r="K58" s="695">
        <v>12938.47</v>
      </c>
      <c r="L58" s="683">
        <v>40958</v>
      </c>
      <c r="M58" s="707">
        <v>8827.15</v>
      </c>
      <c r="N58" s="683">
        <v>41322</v>
      </c>
      <c r="O58" s="686">
        <v>11990.95</v>
      </c>
      <c r="P58" s="689">
        <v>41686</v>
      </c>
      <c r="Q58" s="686">
        <v>18950.75</v>
      </c>
      <c r="R58" s="761">
        <f t="shared" si="89"/>
        <v>42050</v>
      </c>
      <c r="S58" s="720">
        <v>12774.86</v>
      </c>
      <c r="T58" s="761">
        <f t="shared" si="89"/>
        <v>42421</v>
      </c>
      <c r="U58" s="723">
        <v>15514.28</v>
      </c>
      <c r="V58" s="761">
        <f t="shared" ref="V58:Z58" si="103">V57+1</f>
        <v>42785</v>
      </c>
      <c r="W58" s="720">
        <v>18654.21</v>
      </c>
      <c r="X58" s="761">
        <f t="shared" ref="X58" si="104">X57+1</f>
        <v>43149</v>
      </c>
      <c r="Y58" s="720">
        <v>17069.009999999998</v>
      </c>
      <c r="Z58" s="761">
        <f t="shared" si="103"/>
        <v>43513</v>
      </c>
      <c r="AA58" s="720">
        <v>17617.16</v>
      </c>
      <c r="AB58" s="761">
        <f t="shared" ref="AB58" si="105">AB57+1</f>
        <v>43877</v>
      </c>
      <c r="AC58" s="720">
        <v>16830.46</v>
      </c>
      <c r="AD58" s="866"/>
      <c r="AE58" s="203">
        <f>SUM(E52:E58)</f>
        <v>139751.20000000001</v>
      </c>
      <c r="AF58" s="203">
        <f>SUM(G52:G58)</f>
        <v>105431.62</v>
      </c>
      <c r="AG58" s="203">
        <f>SUM(I52:I58)</f>
        <v>104528.90999999999</v>
      </c>
      <c r="AH58" s="203">
        <f>SUM(K52:K58)</f>
        <v>101786.55</v>
      </c>
      <c r="AI58" s="203">
        <f>SUM(M52:M58)</f>
        <v>116471.75999999998</v>
      </c>
      <c r="AJ58" s="751">
        <v>6000</v>
      </c>
      <c r="AK58" s="752">
        <v>15000</v>
      </c>
      <c r="AL58" s="754">
        <v>6000</v>
      </c>
      <c r="AM58" s="762">
        <f t="shared" si="88"/>
        <v>27000</v>
      </c>
      <c r="AN58" s="763">
        <f t="shared" si="93"/>
        <v>44241</v>
      </c>
    </row>
    <row r="59" spans="1:40" s="428" customFormat="1" ht="15.75" thickBot="1">
      <c r="A59" s="486"/>
      <c r="C59" s="809" t="s">
        <v>282</v>
      </c>
      <c r="D59" s="810"/>
      <c r="E59" s="811"/>
      <c r="F59" s="810"/>
      <c r="G59" s="811"/>
      <c r="H59" s="810"/>
      <c r="I59" s="811"/>
      <c r="J59" s="812"/>
      <c r="K59" s="813"/>
      <c r="L59" s="812"/>
      <c r="M59" s="813"/>
      <c r="N59" s="812"/>
      <c r="O59" s="814">
        <f>SUM(O52:O58)</f>
        <v>128897.3</v>
      </c>
      <c r="P59" s="812"/>
      <c r="Q59" s="814">
        <f>SUM(Q52:Q58)</f>
        <v>103620.28</v>
      </c>
      <c r="R59" s="815"/>
      <c r="S59" s="816">
        <f>SUM(S52:S58)</f>
        <v>107386.24000000001</v>
      </c>
      <c r="T59" s="815"/>
      <c r="U59" s="816">
        <f>SUM(U52:U58)</f>
        <v>111065.29000000001</v>
      </c>
      <c r="V59" s="815"/>
      <c r="W59" s="816">
        <f>SUM(W52:W58)</f>
        <v>146900.53999999998</v>
      </c>
      <c r="X59" s="815"/>
      <c r="Y59" s="816">
        <f>SUM(Y52:Y58)</f>
        <v>143963.09</v>
      </c>
      <c r="Z59" s="815"/>
      <c r="AA59" s="816">
        <f>SUM(AA52:AA58)</f>
        <v>127853.87</v>
      </c>
      <c r="AB59" s="815"/>
      <c r="AC59" s="816">
        <f>SUM(AC52:AC58)</f>
        <v>139664.57999999999</v>
      </c>
      <c r="AD59" s="819"/>
      <c r="AE59" s="822"/>
      <c r="AF59" s="822"/>
      <c r="AG59" s="822"/>
      <c r="AH59" s="822"/>
      <c r="AI59" s="822"/>
      <c r="AJ59" s="820">
        <f>SUM(AJ52:AJ58)</f>
        <v>19100</v>
      </c>
      <c r="AK59" s="823">
        <f>SUM(AK52:AK58)</f>
        <v>69500</v>
      </c>
      <c r="AL59" s="823">
        <f>SUM(AL52:AL58)</f>
        <v>11000</v>
      </c>
      <c r="AM59" s="821">
        <f>SUM(AM52:AM58)</f>
        <v>99600</v>
      </c>
    </row>
    <row r="60" spans="1:40">
      <c r="A60" s="5">
        <v>2</v>
      </c>
      <c r="B60" s="16">
        <v>4</v>
      </c>
      <c r="C60" s="16" t="s">
        <v>103</v>
      </c>
      <c r="D60" s="694">
        <v>39496</v>
      </c>
      <c r="E60" s="695">
        <v>14832.24</v>
      </c>
      <c r="F60" s="694">
        <v>39860</v>
      </c>
      <c r="G60" s="695">
        <v>6695.72</v>
      </c>
      <c r="H60" s="694">
        <v>40224</v>
      </c>
      <c r="I60" s="695">
        <v>7342.05</v>
      </c>
      <c r="J60" s="701">
        <v>40588</v>
      </c>
      <c r="K60" s="695">
        <v>23496.15</v>
      </c>
      <c r="L60" s="683">
        <v>40959</v>
      </c>
      <c r="M60" s="707">
        <v>8947.2000000000007</v>
      </c>
      <c r="N60" s="683">
        <v>41323</v>
      </c>
      <c r="O60" s="686">
        <v>10438.09</v>
      </c>
      <c r="P60" s="689">
        <v>41687</v>
      </c>
      <c r="Q60" s="686">
        <v>10644.91</v>
      </c>
      <c r="R60" s="635">
        <f>R58+1</f>
        <v>42051</v>
      </c>
      <c r="S60" s="717">
        <v>9429.2999999999993</v>
      </c>
      <c r="T60" s="635">
        <f>T58+1</f>
        <v>42422</v>
      </c>
      <c r="U60" s="718">
        <v>6811.65</v>
      </c>
      <c r="V60" s="635">
        <f>V58+1</f>
        <v>42786</v>
      </c>
      <c r="W60" s="717">
        <v>12797.2</v>
      </c>
      <c r="X60" s="635">
        <f>X58+1</f>
        <v>43150</v>
      </c>
      <c r="Y60" s="717">
        <v>9704.85</v>
      </c>
      <c r="Z60" s="635">
        <f>Z58+1</f>
        <v>43514</v>
      </c>
      <c r="AA60" s="717">
        <v>10129.93</v>
      </c>
      <c r="AB60" s="635">
        <f>AB58+1</f>
        <v>43878</v>
      </c>
      <c r="AC60" s="717">
        <v>13363.71</v>
      </c>
      <c r="AD60" s="863" t="s">
        <v>117</v>
      </c>
      <c r="AJ60" s="751">
        <v>1500</v>
      </c>
      <c r="AK60" s="752">
        <v>4000</v>
      </c>
      <c r="AL60" s="752"/>
      <c r="AM60" s="762">
        <f t="shared" ref="AM60:AM66" si="106">SUM(AJ60:AL60)</f>
        <v>5500</v>
      </c>
      <c r="AN60" s="763">
        <f>AN58+1</f>
        <v>44242</v>
      </c>
    </row>
    <row r="61" spans="1:40">
      <c r="A61" s="7">
        <v>2</v>
      </c>
      <c r="B61">
        <v>4</v>
      </c>
      <c r="C61" t="s">
        <v>104</v>
      </c>
      <c r="D61" s="697">
        <v>39497</v>
      </c>
      <c r="E61" s="695">
        <v>13794.95</v>
      </c>
      <c r="F61" s="697">
        <v>39861</v>
      </c>
      <c r="G61" s="695">
        <v>9609.7199999999993</v>
      </c>
      <c r="H61" s="697">
        <v>40225</v>
      </c>
      <c r="I61" s="695">
        <v>5541.36</v>
      </c>
      <c r="J61" s="683">
        <v>40589</v>
      </c>
      <c r="K61" s="695">
        <v>10824.17</v>
      </c>
      <c r="L61" s="683">
        <v>40960</v>
      </c>
      <c r="M61" s="707">
        <v>11159.85</v>
      </c>
      <c r="N61" s="683">
        <v>41324</v>
      </c>
      <c r="O61" s="686">
        <v>10392.15</v>
      </c>
      <c r="P61" s="689">
        <v>41688</v>
      </c>
      <c r="Q61" s="686">
        <v>4624.95</v>
      </c>
      <c r="R61" s="689">
        <f>R60+1</f>
        <v>42052</v>
      </c>
      <c r="S61" s="719">
        <v>11242.75</v>
      </c>
      <c r="T61" s="689">
        <f>T60+1</f>
        <v>42423</v>
      </c>
      <c r="U61" s="719">
        <v>9904.0499999999993</v>
      </c>
      <c r="V61" s="689">
        <f>V60+1</f>
        <v>42787</v>
      </c>
      <c r="W61" s="718">
        <v>7950.6</v>
      </c>
      <c r="X61" s="689">
        <f>X60+1</f>
        <v>43151</v>
      </c>
      <c r="Y61" s="718">
        <v>10643.99</v>
      </c>
      <c r="Z61" s="689">
        <f>Z60+1</f>
        <v>43515</v>
      </c>
      <c r="AA61" s="718">
        <v>10693.82</v>
      </c>
      <c r="AB61" s="689">
        <f>AB60+1</f>
        <v>43879</v>
      </c>
      <c r="AC61" s="718">
        <v>11419.6</v>
      </c>
      <c r="AD61" s="864"/>
      <c r="AJ61" s="751">
        <v>1700</v>
      </c>
      <c r="AK61" s="752">
        <v>4000</v>
      </c>
      <c r="AL61" s="753">
        <v>2000</v>
      </c>
      <c r="AM61" s="762">
        <f t="shared" si="106"/>
        <v>7700</v>
      </c>
      <c r="AN61" s="763">
        <f>AN60+1</f>
        <v>44243</v>
      </c>
    </row>
    <row r="62" spans="1:40">
      <c r="A62" s="7">
        <v>2</v>
      </c>
      <c r="B62">
        <v>4</v>
      </c>
      <c r="C62" t="s">
        <v>105</v>
      </c>
      <c r="D62" s="697">
        <v>39498</v>
      </c>
      <c r="E62" s="695">
        <v>15167.34</v>
      </c>
      <c r="F62" s="697">
        <v>39862</v>
      </c>
      <c r="G62" s="695">
        <v>9816.7900000000009</v>
      </c>
      <c r="H62" s="697">
        <v>40226</v>
      </c>
      <c r="I62" s="695">
        <v>12080.34</v>
      </c>
      <c r="J62" s="683">
        <v>40590</v>
      </c>
      <c r="K62" s="695">
        <v>15341.2</v>
      </c>
      <c r="L62" s="683">
        <v>40961</v>
      </c>
      <c r="M62" s="707">
        <v>13606.35</v>
      </c>
      <c r="N62" s="683">
        <v>41325</v>
      </c>
      <c r="O62" s="686">
        <v>11526.6</v>
      </c>
      <c r="P62" s="689">
        <v>41689</v>
      </c>
      <c r="Q62" s="686">
        <v>14517.93</v>
      </c>
      <c r="R62" s="689">
        <f t="shared" ref="R62:T66" si="107">R61+1</f>
        <v>42053</v>
      </c>
      <c r="S62" s="719">
        <v>14102.68</v>
      </c>
      <c r="T62" s="689">
        <f t="shared" si="107"/>
        <v>42424</v>
      </c>
      <c r="U62" s="719">
        <v>10944.65</v>
      </c>
      <c r="V62" s="689">
        <f t="shared" ref="V62:Z62" si="108">V61+1</f>
        <v>42788</v>
      </c>
      <c r="W62" s="719">
        <v>13657.02</v>
      </c>
      <c r="X62" s="689">
        <f t="shared" ref="X62" si="109">X61+1</f>
        <v>43152</v>
      </c>
      <c r="Y62" s="719">
        <v>14498.7</v>
      </c>
      <c r="Z62" s="689">
        <f t="shared" si="108"/>
        <v>43516</v>
      </c>
      <c r="AA62" s="719">
        <v>15503.86</v>
      </c>
      <c r="AB62" s="689">
        <f t="shared" ref="AB62" si="110">AB61+1</f>
        <v>43880</v>
      </c>
      <c r="AC62" s="719">
        <v>12838.82</v>
      </c>
      <c r="AD62" s="864"/>
      <c r="AJ62" s="751">
        <v>1700</v>
      </c>
      <c r="AK62" s="752">
        <v>8500</v>
      </c>
      <c r="AL62" s="753"/>
      <c r="AM62" s="762">
        <f t="shared" si="106"/>
        <v>10200</v>
      </c>
      <c r="AN62" s="763">
        <f t="shared" ref="AN62:AN66" si="111">AN61+1</f>
        <v>44244</v>
      </c>
    </row>
    <row r="63" spans="1:40">
      <c r="A63" s="7">
        <v>2</v>
      </c>
      <c r="B63">
        <v>4</v>
      </c>
      <c r="C63" t="s">
        <v>106</v>
      </c>
      <c r="D63" s="697">
        <v>39499</v>
      </c>
      <c r="E63" s="695">
        <v>17112.03</v>
      </c>
      <c r="F63" s="697">
        <v>39863</v>
      </c>
      <c r="G63" s="695">
        <v>9827.7900000000009</v>
      </c>
      <c r="H63" s="697">
        <v>40227</v>
      </c>
      <c r="I63" s="695">
        <v>13908.32</v>
      </c>
      <c r="J63" s="683">
        <v>40591</v>
      </c>
      <c r="K63" s="695">
        <v>11759.38</v>
      </c>
      <c r="L63" s="683">
        <v>40962</v>
      </c>
      <c r="M63" s="707">
        <v>12970.81</v>
      </c>
      <c r="N63" s="683">
        <v>41326</v>
      </c>
      <c r="O63" s="686">
        <v>13208.05</v>
      </c>
      <c r="P63" s="689">
        <v>41690</v>
      </c>
      <c r="Q63" s="686">
        <v>10538.2</v>
      </c>
      <c r="R63" s="689">
        <f t="shared" si="107"/>
        <v>42054</v>
      </c>
      <c r="S63" s="719">
        <v>15618.97</v>
      </c>
      <c r="T63" s="689">
        <f t="shared" si="107"/>
        <v>42425</v>
      </c>
      <c r="U63" s="719">
        <v>2338.6999999999998</v>
      </c>
      <c r="V63" s="689">
        <f t="shared" ref="V63:Z63" si="112">V62+1</f>
        <v>42789</v>
      </c>
      <c r="W63" s="719">
        <v>17831.71</v>
      </c>
      <c r="X63" s="689">
        <f t="shared" ref="X63" si="113">X62+1</f>
        <v>43153</v>
      </c>
      <c r="Y63" s="719">
        <v>13520.91</v>
      </c>
      <c r="Z63" s="689">
        <f t="shared" si="112"/>
        <v>43517</v>
      </c>
      <c r="AA63" s="719">
        <v>16367.05</v>
      </c>
      <c r="AB63" s="689">
        <f t="shared" ref="AB63" si="114">AB62+1</f>
        <v>43881</v>
      </c>
      <c r="AC63" s="719">
        <v>18807.3</v>
      </c>
      <c r="AD63" s="864"/>
      <c r="AJ63" s="751">
        <v>1700</v>
      </c>
      <c r="AK63" s="752">
        <v>5000</v>
      </c>
      <c r="AL63" s="753"/>
      <c r="AM63" s="762">
        <f t="shared" si="106"/>
        <v>6700</v>
      </c>
      <c r="AN63" s="763">
        <f t="shared" si="111"/>
        <v>44245</v>
      </c>
    </row>
    <row r="64" spans="1:40">
      <c r="A64" s="7">
        <v>2</v>
      </c>
      <c r="B64">
        <v>4</v>
      </c>
      <c r="C64" t="s">
        <v>107</v>
      </c>
      <c r="D64" s="697">
        <v>39500</v>
      </c>
      <c r="E64" s="695">
        <v>10696.22</v>
      </c>
      <c r="F64" s="697">
        <v>39864</v>
      </c>
      <c r="G64" s="695">
        <v>17974.82</v>
      </c>
      <c r="H64" s="697">
        <v>40228</v>
      </c>
      <c r="I64" s="695">
        <v>21174.75</v>
      </c>
      <c r="J64" s="683">
        <v>40592</v>
      </c>
      <c r="K64" s="695">
        <v>16916.32</v>
      </c>
      <c r="L64" s="683">
        <v>40963</v>
      </c>
      <c r="M64" s="707">
        <v>21959.360000000001</v>
      </c>
      <c r="N64" s="683">
        <v>41327</v>
      </c>
      <c r="O64" s="686">
        <v>24707.11</v>
      </c>
      <c r="P64" s="689">
        <v>41691</v>
      </c>
      <c r="Q64" s="686">
        <v>20923.97</v>
      </c>
      <c r="R64" s="689">
        <f t="shared" si="107"/>
        <v>42055</v>
      </c>
      <c r="S64" s="719">
        <v>23814.400000000001</v>
      </c>
      <c r="T64" s="689">
        <f t="shared" si="107"/>
        <v>42426</v>
      </c>
      <c r="U64" s="719">
        <v>27972.86</v>
      </c>
      <c r="V64" s="689">
        <f t="shared" ref="V64:Z64" si="115">V63+1</f>
        <v>42790</v>
      </c>
      <c r="W64" s="719">
        <v>23271.56</v>
      </c>
      <c r="X64" s="689">
        <f t="shared" ref="X64" si="116">X63+1</f>
        <v>43154</v>
      </c>
      <c r="Y64" s="719">
        <v>23352.19</v>
      </c>
      <c r="Z64" s="689">
        <f t="shared" si="115"/>
        <v>43518</v>
      </c>
      <c r="AA64" s="719">
        <v>24293.78</v>
      </c>
      <c r="AB64" s="689">
        <f t="shared" ref="AB64" si="117">AB63+1</f>
        <v>43882</v>
      </c>
      <c r="AC64" s="719">
        <v>26254.240000000002</v>
      </c>
      <c r="AD64" s="864"/>
      <c r="AJ64" s="751">
        <v>2500</v>
      </c>
      <c r="AK64" s="752">
        <v>15000</v>
      </c>
      <c r="AL64" s="753"/>
      <c r="AM64" s="762">
        <f t="shared" si="106"/>
        <v>17500</v>
      </c>
      <c r="AN64" s="763">
        <f t="shared" si="111"/>
        <v>44246</v>
      </c>
    </row>
    <row r="65" spans="1:40">
      <c r="A65" s="7">
        <v>2</v>
      </c>
      <c r="B65">
        <v>4</v>
      </c>
      <c r="C65" t="s">
        <v>108</v>
      </c>
      <c r="D65" s="697">
        <v>39501</v>
      </c>
      <c r="E65" s="695">
        <v>25151.38</v>
      </c>
      <c r="F65" s="697">
        <v>39865</v>
      </c>
      <c r="G65" s="695">
        <v>24469.64</v>
      </c>
      <c r="H65" s="697">
        <v>40229</v>
      </c>
      <c r="I65" s="695">
        <v>17854.419999999998</v>
      </c>
      <c r="J65" s="683">
        <v>40593</v>
      </c>
      <c r="K65" s="695">
        <v>20654.29</v>
      </c>
      <c r="L65" s="683">
        <v>40964</v>
      </c>
      <c r="M65" s="707">
        <v>23370.71</v>
      </c>
      <c r="N65" s="683">
        <v>41328</v>
      </c>
      <c r="O65" s="686">
        <v>20245.900000000001</v>
      </c>
      <c r="P65" s="689">
        <v>41692</v>
      </c>
      <c r="Q65" s="686">
        <v>24531.55</v>
      </c>
      <c r="R65" s="689">
        <f t="shared" si="107"/>
        <v>42056</v>
      </c>
      <c r="S65" s="719">
        <v>13061.9</v>
      </c>
      <c r="T65" s="689">
        <f t="shared" si="107"/>
        <v>42427</v>
      </c>
      <c r="U65" s="719">
        <v>26896.61</v>
      </c>
      <c r="V65" s="689">
        <f t="shared" ref="V65:Z65" si="118">V64+1</f>
        <v>42791</v>
      </c>
      <c r="W65" s="719">
        <v>28646.6</v>
      </c>
      <c r="X65" s="689">
        <f t="shared" ref="X65" si="119">X64+1</f>
        <v>43155</v>
      </c>
      <c r="Y65" s="719">
        <v>25898.39</v>
      </c>
      <c r="Z65" s="689">
        <f t="shared" si="118"/>
        <v>43519</v>
      </c>
      <c r="AA65" s="719">
        <v>22298.240000000002</v>
      </c>
      <c r="AB65" s="689">
        <f t="shared" ref="AB65" si="120">AB64+1</f>
        <v>43883</v>
      </c>
      <c r="AC65" s="719">
        <v>30238.16</v>
      </c>
      <c r="AD65" s="864"/>
      <c r="AJ65" s="751">
        <v>3000</v>
      </c>
      <c r="AK65" s="752">
        <v>15500</v>
      </c>
      <c r="AL65" s="753"/>
      <c r="AM65" s="762">
        <f t="shared" si="106"/>
        <v>18500</v>
      </c>
      <c r="AN65" s="763">
        <f t="shared" si="111"/>
        <v>44247</v>
      </c>
    </row>
    <row r="66" spans="1:40" ht="15.75" thickBot="1">
      <c r="A66" s="12">
        <v>2</v>
      </c>
      <c r="B66" s="14">
        <v>4</v>
      </c>
      <c r="C66" s="14" t="s">
        <v>109</v>
      </c>
      <c r="D66" s="699">
        <v>39502</v>
      </c>
      <c r="E66" s="695">
        <v>8914.5400000000009</v>
      </c>
      <c r="F66" s="699">
        <v>39866</v>
      </c>
      <c r="G66" s="695">
        <v>4675.5200000000004</v>
      </c>
      <c r="H66" s="699">
        <v>40230</v>
      </c>
      <c r="I66" s="695">
        <v>5712</v>
      </c>
      <c r="J66" s="700">
        <v>40594</v>
      </c>
      <c r="K66" s="695">
        <v>5053.25</v>
      </c>
      <c r="L66" s="683">
        <v>40965</v>
      </c>
      <c r="M66" s="707">
        <v>6343.45</v>
      </c>
      <c r="N66" s="683">
        <v>41329</v>
      </c>
      <c r="O66" s="686">
        <v>8530.01</v>
      </c>
      <c r="P66" s="689">
        <v>41693</v>
      </c>
      <c r="Q66" s="686">
        <v>12376.66</v>
      </c>
      <c r="R66" s="761">
        <f t="shared" si="107"/>
        <v>42057</v>
      </c>
      <c r="S66" s="723">
        <v>13353.35</v>
      </c>
      <c r="T66" s="761">
        <f t="shared" si="107"/>
        <v>42428</v>
      </c>
      <c r="U66" s="723">
        <v>13862.5</v>
      </c>
      <c r="V66" s="761">
        <f t="shared" ref="V66:Z66" si="121">V65+1</f>
        <v>42792</v>
      </c>
      <c r="W66" s="720">
        <v>14669.92</v>
      </c>
      <c r="X66" s="761">
        <f t="shared" ref="X66" si="122">X65+1</f>
        <v>43156</v>
      </c>
      <c r="Y66" s="720">
        <v>17487.62</v>
      </c>
      <c r="Z66" s="761">
        <f t="shared" si="121"/>
        <v>43520</v>
      </c>
      <c r="AA66" s="720">
        <v>13351.98</v>
      </c>
      <c r="AB66" s="761">
        <f t="shared" ref="AB66" si="123">AB65+1</f>
        <v>43884</v>
      </c>
      <c r="AC66" s="720">
        <v>16989.52</v>
      </c>
      <c r="AD66" s="865"/>
      <c r="AE66" s="203">
        <f>SUM(E60:E66)</f>
        <v>105668.70000000001</v>
      </c>
      <c r="AF66" s="203">
        <f>SUM(G60:G66)</f>
        <v>83070.000000000015</v>
      </c>
      <c r="AG66" s="203">
        <f>SUM(I60:I66)</f>
        <v>83613.239999999991</v>
      </c>
      <c r="AH66" s="203">
        <f>SUM(K60:K66)</f>
        <v>104044.76000000001</v>
      </c>
      <c r="AI66" s="203">
        <f>SUM(M60:M66)</f>
        <v>98357.73</v>
      </c>
      <c r="AJ66" s="751">
        <v>5000</v>
      </c>
      <c r="AK66" s="752">
        <v>3000</v>
      </c>
      <c r="AL66" s="754"/>
      <c r="AM66" s="762">
        <f t="shared" si="106"/>
        <v>8000</v>
      </c>
      <c r="AN66" s="763">
        <f t="shared" si="111"/>
        <v>44248</v>
      </c>
    </row>
    <row r="67" spans="1:40" s="428" customFormat="1" ht="15.75" thickBot="1">
      <c r="A67" s="486"/>
      <c r="C67" s="809" t="s">
        <v>282</v>
      </c>
      <c r="D67" s="810"/>
      <c r="E67" s="811"/>
      <c r="F67" s="810"/>
      <c r="G67" s="811"/>
      <c r="H67" s="810"/>
      <c r="I67" s="811"/>
      <c r="J67" s="812"/>
      <c r="K67" s="813"/>
      <c r="L67" s="812"/>
      <c r="M67" s="813"/>
      <c r="N67" s="812"/>
      <c r="O67" s="814">
        <f>SUM(O60:O66)</f>
        <v>99047.909999999989</v>
      </c>
      <c r="P67" s="812"/>
      <c r="Q67" s="814">
        <f>SUM(Q60:Q66)</f>
        <v>98158.170000000013</v>
      </c>
      <c r="R67" s="815"/>
      <c r="S67" s="816">
        <f>SUM(S60:S66)</f>
        <v>100623.35</v>
      </c>
      <c r="T67" s="815"/>
      <c r="U67" s="816">
        <f>SUM(U60:U66)</f>
        <v>98731.02</v>
      </c>
      <c r="V67" s="815"/>
      <c r="W67" s="816">
        <f>SUM(W60:W66)</f>
        <v>118824.61</v>
      </c>
      <c r="X67" s="815"/>
      <c r="Y67" s="816">
        <f>SUM(Y60:Y66)</f>
        <v>115106.65</v>
      </c>
      <c r="Z67" s="815"/>
      <c r="AA67" s="816">
        <f>SUM(AA60:AA66)</f>
        <v>112638.66</v>
      </c>
      <c r="AB67" s="815"/>
      <c r="AC67" s="816">
        <f>SUM(AC60:AC66)</f>
        <v>129911.35</v>
      </c>
      <c r="AD67" s="819"/>
      <c r="AE67" s="822"/>
      <c r="AF67" s="822"/>
      <c r="AG67" s="822"/>
      <c r="AH67" s="822"/>
      <c r="AI67" s="822"/>
      <c r="AJ67" s="820">
        <f>SUM(AJ60:AJ66)</f>
        <v>17100</v>
      </c>
      <c r="AK67" s="823">
        <f>SUM(AK60:AK66)</f>
        <v>55000</v>
      </c>
      <c r="AL67" s="823">
        <f>SUM(AL60:AL66)</f>
        <v>2000</v>
      </c>
      <c r="AM67" s="821">
        <f>SUM(AM60:AM66)</f>
        <v>74100</v>
      </c>
    </row>
    <row r="68" spans="1:40" hidden="1">
      <c r="A68" s="5">
        <v>3</v>
      </c>
      <c r="B68" s="16">
        <v>1</v>
      </c>
      <c r="C68" s="16" t="s">
        <v>103</v>
      </c>
      <c r="D68" s="694">
        <v>39503</v>
      </c>
      <c r="E68" s="695">
        <v>12266.92</v>
      </c>
      <c r="F68" s="694">
        <v>39867</v>
      </c>
      <c r="G68" s="695">
        <v>6095.98</v>
      </c>
      <c r="H68" s="694">
        <v>40231</v>
      </c>
      <c r="I68" s="695">
        <v>8741.02</v>
      </c>
      <c r="J68" s="701">
        <v>40595</v>
      </c>
      <c r="K68" s="695">
        <v>7276.99</v>
      </c>
      <c r="L68" s="683">
        <v>40966</v>
      </c>
      <c r="M68" s="707">
        <v>6843.21</v>
      </c>
      <c r="N68" s="683">
        <v>41330</v>
      </c>
      <c r="O68" s="690">
        <v>7241.95</v>
      </c>
      <c r="P68" s="689">
        <v>41694</v>
      </c>
      <c r="Q68" s="686">
        <v>9688.5</v>
      </c>
      <c r="R68" s="759">
        <f>R66+1</f>
        <v>42058</v>
      </c>
      <c r="S68" s="717">
        <v>8052.2</v>
      </c>
      <c r="T68" s="759">
        <f>T66+1</f>
        <v>42429</v>
      </c>
      <c r="U68" s="772">
        <v>7554.05</v>
      </c>
      <c r="V68" s="634">
        <f>V66+1</f>
        <v>42793</v>
      </c>
      <c r="W68" s="772">
        <v>7409.6</v>
      </c>
      <c r="X68" s="759">
        <f>X66+1</f>
        <v>43157</v>
      </c>
      <c r="Y68" s="776">
        <v>8804.2099999999991</v>
      </c>
      <c r="Z68" s="759">
        <f>Z66+1</f>
        <v>43521</v>
      </c>
      <c r="AA68" s="772">
        <v>8773.65</v>
      </c>
      <c r="AB68" s="759">
        <f>AB66+1</f>
        <v>43885</v>
      </c>
      <c r="AC68" s="767"/>
      <c r="AD68" s="863" t="s">
        <v>118</v>
      </c>
      <c r="AJ68" s="751"/>
      <c r="AK68" s="752"/>
      <c r="AL68" s="752"/>
      <c r="AM68" s="762">
        <f t="shared" ref="AM68:AM74" si="124">SUM(AJ68:AL68)</f>
        <v>0</v>
      </c>
      <c r="AN68" s="763">
        <f>AN66+1</f>
        <v>44249</v>
      </c>
    </row>
    <row r="69" spans="1:40" hidden="1">
      <c r="A69" s="7">
        <v>3</v>
      </c>
      <c r="B69">
        <v>1</v>
      </c>
      <c r="C69" t="s">
        <v>104</v>
      </c>
      <c r="D69" s="697">
        <v>39504</v>
      </c>
      <c r="E69" s="695">
        <v>11965.89</v>
      </c>
      <c r="F69" s="697">
        <v>39868</v>
      </c>
      <c r="G69" s="695">
        <v>8368.7199999999993</v>
      </c>
      <c r="H69" s="697">
        <v>40232</v>
      </c>
      <c r="I69" s="695">
        <v>6377.88</v>
      </c>
      <c r="J69" s="683">
        <v>40596</v>
      </c>
      <c r="K69" s="695">
        <v>7127.34</v>
      </c>
      <c r="L69" s="683">
        <v>40967</v>
      </c>
      <c r="M69" s="707">
        <v>9828.4</v>
      </c>
      <c r="N69" s="683">
        <v>41331</v>
      </c>
      <c r="O69" s="690">
        <v>11334.01</v>
      </c>
      <c r="P69" s="689">
        <v>41695</v>
      </c>
      <c r="Q69" s="686">
        <v>10807.14</v>
      </c>
      <c r="R69" s="760">
        <f>R68+1</f>
        <v>42059</v>
      </c>
      <c r="S69" s="719">
        <v>12193</v>
      </c>
      <c r="T69" s="760">
        <f>T68+1</f>
        <v>42430</v>
      </c>
      <c r="U69" s="818">
        <v>11098.6</v>
      </c>
      <c r="V69" s="829">
        <f>V68+1</f>
        <v>42794</v>
      </c>
      <c r="W69" s="818">
        <v>11723.35</v>
      </c>
      <c r="X69" s="760">
        <f>X68+1</f>
        <v>43158</v>
      </c>
      <c r="Y69" s="827">
        <v>10900.9</v>
      </c>
      <c r="Z69" s="760">
        <f>Z68+1</f>
        <v>43522</v>
      </c>
      <c r="AA69" s="818">
        <v>11527.9</v>
      </c>
      <c r="AB69" s="760">
        <f>AB68+1</f>
        <v>43886</v>
      </c>
      <c r="AC69" s="837"/>
      <c r="AD69" s="864"/>
      <c r="AJ69" s="751"/>
      <c r="AK69" s="752"/>
      <c r="AL69" s="753"/>
      <c r="AM69" s="762">
        <f t="shared" si="124"/>
        <v>0</v>
      </c>
      <c r="AN69" s="763">
        <f>AN68+1</f>
        <v>44250</v>
      </c>
    </row>
    <row r="70" spans="1:40" hidden="1">
      <c r="A70" s="7">
        <v>3</v>
      </c>
      <c r="B70">
        <v>1</v>
      </c>
      <c r="C70" t="s">
        <v>105</v>
      </c>
      <c r="D70" s="697">
        <v>39505</v>
      </c>
      <c r="E70" s="695">
        <v>16304.77</v>
      </c>
      <c r="F70" s="697">
        <v>39869</v>
      </c>
      <c r="G70" s="695">
        <v>11057.01</v>
      </c>
      <c r="H70" s="697">
        <v>40233</v>
      </c>
      <c r="I70" s="695">
        <v>11035.47</v>
      </c>
      <c r="J70" s="683">
        <v>40597</v>
      </c>
      <c r="K70" s="695">
        <v>9987.19</v>
      </c>
      <c r="L70" s="683">
        <v>40968</v>
      </c>
      <c r="M70" s="707">
        <v>8536.5</v>
      </c>
      <c r="N70" s="683">
        <v>41332</v>
      </c>
      <c r="O70" s="690">
        <v>14398.5</v>
      </c>
      <c r="P70" s="689">
        <v>41696</v>
      </c>
      <c r="Q70" s="686">
        <v>14831.75</v>
      </c>
      <c r="R70" s="760">
        <f t="shared" ref="R70:T74" si="125">R69+1</f>
        <v>42060</v>
      </c>
      <c r="S70" s="719">
        <v>15172.75</v>
      </c>
      <c r="T70" s="760">
        <f t="shared" si="125"/>
        <v>42431</v>
      </c>
      <c r="U70" s="774">
        <v>11507.25</v>
      </c>
      <c r="V70" s="829">
        <f t="shared" ref="V70:Z70" si="126">V69+1</f>
        <v>42795</v>
      </c>
      <c r="W70" s="774">
        <v>15034.46</v>
      </c>
      <c r="X70" s="760">
        <f t="shared" ref="X70" si="127">X69+1</f>
        <v>43159</v>
      </c>
      <c r="Y70" s="777">
        <v>13603.85</v>
      </c>
      <c r="Z70" s="760">
        <f t="shared" si="126"/>
        <v>43523</v>
      </c>
      <c r="AA70" s="774">
        <v>11894.36</v>
      </c>
      <c r="AB70" s="760">
        <f t="shared" ref="AB70" si="128">AB69+1</f>
        <v>43887</v>
      </c>
      <c r="AC70" s="768"/>
      <c r="AD70" s="864"/>
      <c r="AJ70" s="751"/>
      <c r="AK70" s="752"/>
      <c r="AL70" s="753"/>
      <c r="AM70" s="762">
        <f t="shared" si="124"/>
        <v>0</v>
      </c>
      <c r="AN70" s="763">
        <f>AN69+1</f>
        <v>44251</v>
      </c>
    </row>
    <row r="71" spans="1:40" hidden="1">
      <c r="A71" s="7">
        <v>3</v>
      </c>
      <c r="B71">
        <v>1</v>
      </c>
      <c r="C71" t="s">
        <v>106</v>
      </c>
      <c r="D71" s="697">
        <v>39506</v>
      </c>
      <c r="E71" s="695">
        <v>17329.45</v>
      </c>
      <c r="F71" s="697">
        <v>39870</v>
      </c>
      <c r="G71" s="695">
        <v>12731.57</v>
      </c>
      <c r="H71" s="697">
        <v>40234</v>
      </c>
      <c r="I71" s="695">
        <v>11318.36</v>
      </c>
      <c r="J71" s="683">
        <v>40598</v>
      </c>
      <c r="K71" s="695">
        <v>10868.94</v>
      </c>
      <c r="L71" s="683">
        <v>40969</v>
      </c>
      <c r="M71" s="707">
        <v>10406.26</v>
      </c>
      <c r="N71" s="683">
        <v>41333</v>
      </c>
      <c r="O71" s="690">
        <v>13227.45</v>
      </c>
      <c r="P71" s="689">
        <v>41697</v>
      </c>
      <c r="Q71" s="686">
        <v>13401.65</v>
      </c>
      <c r="R71" s="760">
        <f t="shared" si="125"/>
        <v>42061</v>
      </c>
      <c r="S71" s="719">
        <v>12854.85</v>
      </c>
      <c r="T71" s="760">
        <f t="shared" si="125"/>
        <v>42432</v>
      </c>
      <c r="U71" s="774">
        <v>14457.7</v>
      </c>
      <c r="V71" s="829">
        <f t="shared" ref="V71:Z71" si="129">V70+1</f>
        <v>42796</v>
      </c>
      <c r="W71" s="774">
        <v>12866.25</v>
      </c>
      <c r="X71" s="760">
        <f t="shared" ref="X71" si="130">X70+1</f>
        <v>43160</v>
      </c>
      <c r="Y71" s="777">
        <v>13360.26</v>
      </c>
      <c r="Z71" s="760">
        <f t="shared" si="129"/>
        <v>43524</v>
      </c>
      <c r="AA71" s="774">
        <v>16565.54</v>
      </c>
      <c r="AB71" s="760">
        <f t="shared" ref="AB71" si="131">AB70+1</f>
        <v>43888</v>
      </c>
      <c r="AC71" s="768"/>
      <c r="AD71" s="864"/>
      <c r="AJ71" s="751"/>
      <c r="AK71" s="752"/>
      <c r="AL71" s="753"/>
      <c r="AM71" s="762">
        <f t="shared" si="124"/>
        <v>0</v>
      </c>
      <c r="AN71" s="763">
        <f t="shared" ref="AN71:AN74" si="132">AN70+1</f>
        <v>44252</v>
      </c>
    </row>
    <row r="72" spans="1:40" hidden="1">
      <c r="A72" s="7">
        <v>3</v>
      </c>
      <c r="B72">
        <v>1</v>
      </c>
      <c r="C72" t="s">
        <v>107</v>
      </c>
      <c r="D72" s="697">
        <v>39507</v>
      </c>
      <c r="E72" s="695">
        <v>26166.94</v>
      </c>
      <c r="F72" s="697">
        <v>39871</v>
      </c>
      <c r="G72" s="695">
        <v>19807.7</v>
      </c>
      <c r="H72" s="697">
        <v>40235</v>
      </c>
      <c r="I72" s="695">
        <v>18666.25</v>
      </c>
      <c r="J72" s="683">
        <v>40599</v>
      </c>
      <c r="K72" s="695">
        <v>14620.76</v>
      </c>
      <c r="L72" s="683">
        <v>40970</v>
      </c>
      <c r="M72" s="707">
        <v>25156.65</v>
      </c>
      <c r="N72" s="683">
        <v>41334</v>
      </c>
      <c r="O72" s="690">
        <v>23231.86</v>
      </c>
      <c r="P72" s="689">
        <v>41698</v>
      </c>
      <c r="Q72" s="686">
        <v>22508.400000000001</v>
      </c>
      <c r="R72" s="760">
        <f t="shared" si="125"/>
        <v>42062</v>
      </c>
      <c r="S72" s="719">
        <v>25497.119999999999</v>
      </c>
      <c r="T72" s="760">
        <f t="shared" si="125"/>
        <v>42433</v>
      </c>
      <c r="U72" s="774">
        <v>23033.82</v>
      </c>
      <c r="V72" s="829">
        <f t="shared" ref="V72:Z72" si="133">V71+1</f>
        <v>42797</v>
      </c>
      <c r="W72" s="774">
        <v>22474.2</v>
      </c>
      <c r="X72" s="760">
        <f t="shared" ref="X72" si="134">X71+1</f>
        <v>43161</v>
      </c>
      <c r="Y72" s="777">
        <v>16477.88</v>
      </c>
      <c r="Z72" s="760">
        <f t="shared" si="133"/>
        <v>43525</v>
      </c>
      <c r="AA72" s="774">
        <v>19825.29</v>
      </c>
      <c r="AB72" s="760">
        <f t="shared" ref="AB72" si="135">AB71+1</f>
        <v>43889</v>
      </c>
      <c r="AC72" s="768"/>
      <c r="AD72" s="864"/>
      <c r="AJ72" s="751"/>
      <c r="AK72" s="752"/>
      <c r="AL72" s="753"/>
      <c r="AM72" s="762">
        <f t="shared" si="124"/>
        <v>0</v>
      </c>
      <c r="AN72" s="763">
        <f t="shared" si="132"/>
        <v>44253</v>
      </c>
    </row>
    <row r="73" spans="1:40" hidden="1">
      <c r="A73" s="7">
        <v>3</v>
      </c>
      <c r="B73">
        <v>1</v>
      </c>
      <c r="C73" t="s">
        <v>108</v>
      </c>
      <c r="D73" s="697">
        <v>39508</v>
      </c>
      <c r="E73" s="695">
        <v>27008.73</v>
      </c>
      <c r="F73" s="697">
        <v>39872</v>
      </c>
      <c r="G73" s="695">
        <v>22200.33</v>
      </c>
      <c r="H73" s="697">
        <v>40236</v>
      </c>
      <c r="I73" s="695">
        <v>19626.400000000001</v>
      </c>
      <c r="J73" s="683">
        <v>40600</v>
      </c>
      <c r="K73" s="695">
        <v>23176.33</v>
      </c>
      <c r="L73" s="683">
        <v>40971</v>
      </c>
      <c r="M73" s="707">
        <v>21887.45</v>
      </c>
      <c r="N73" s="683">
        <v>41335</v>
      </c>
      <c r="O73" s="690">
        <v>24995.26</v>
      </c>
      <c r="P73" s="689">
        <v>41699</v>
      </c>
      <c r="Q73" s="686">
        <v>23845.599999999999</v>
      </c>
      <c r="R73" s="760">
        <f t="shared" si="125"/>
        <v>42063</v>
      </c>
      <c r="S73" s="719">
        <v>27539.65</v>
      </c>
      <c r="T73" s="760">
        <f t="shared" si="125"/>
        <v>42434</v>
      </c>
      <c r="U73" s="774">
        <v>23794.55</v>
      </c>
      <c r="V73" s="829">
        <f t="shared" ref="V73:Z73" si="136">V72+1</f>
        <v>42798</v>
      </c>
      <c r="W73" s="774">
        <v>22189.55</v>
      </c>
      <c r="X73" s="760">
        <f t="shared" ref="X73" si="137">X72+1</f>
        <v>43162</v>
      </c>
      <c r="Y73" s="777">
        <v>24977.65</v>
      </c>
      <c r="Z73" s="760">
        <f t="shared" si="136"/>
        <v>43526</v>
      </c>
      <c r="AA73" s="774">
        <v>21650.45</v>
      </c>
      <c r="AB73" s="760">
        <f t="shared" ref="AB73" si="138">AB72+1</f>
        <v>43890</v>
      </c>
      <c r="AC73" s="768"/>
      <c r="AD73" s="864"/>
      <c r="AJ73" s="751"/>
      <c r="AK73" s="752"/>
      <c r="AL73" s="753"/>
      <c r="AM73" s="762">
        <f t="shared" si="124"/>
        <v>0</v>
      </c>
      <c r="AN73" s="763">
        <f t="shared" si="132"/>
        <v>44254</v>
      </c>
    </row>
    <row r="74" spans="1:40" ht="15.75" hidden="1" thickBot="1">
      <c r="A74" s="12">
        <v>3</v>
      </c>
      <c r="B74" s="14">
        <v>1</v>
      </c>
      <c r="C74" s="14" t="s">
        <v>109</v>
      </c>
      <c r="D74" s="699">
        <v>39509</v>
      </c>
      <c r="E74" s="695">
        <v>10724.33</v>
      </c>
      <c r="F74" s="699">
        <v>39873</v>
      </c>
      <c r="G74" s="695">
        <v>5250.4</v>
      </c>
      <c r="H74" s="699">
        <v>40237</v>
      </c>
      <c r="I74" s="695">
        <v>5139.97</v>
      </c>
      <c r="J74" s="700">
        <v>40601</v>
      </c>
      <c r="K74" s="695">
        <v>5576.79</v>
      </c>
      <c r="L74" s="683">
        <v>40972</v>
      </c>
      <c r="M74" s="707">
        <v>9031.7000000000007</v>
      </c>
      <c r="N74" s="683">
        <v>41336</v>
      </c>
      <c r="O74" s="690">
        <v>7092.4</v>
      </c>
      <c r="P74" s="689">
        <v>41700</v>
      </c>
      <c r="Q74" s="686">
        <v>10141.200000000001</v>
      </c>
      <c r="R74" s="760">
        <f t="shared" si="125"/>
        <v>42064</v>
      </c>
      <c r="S74" s="723">
        <v>10564.06</v>
      </c>
      <c r="T74" s="760">
        <f t="shared" si="125"/>
        <v>42435</v>
      </c>
      <c r="U74" s="775">
        <v>16153.55</v>
      </c>
      <c r="V74" s="829">
        <f t="shared" ref="V74:Z74" si="139">V73+1</f>
        <v>42799</v>
      </c>
      <c r="W74" s="775">
        <v>13034.06</v>
      </c>
      <c r="X74" s="760">
        <f t="shared" ref="X74" si="140">X73+1</f>
        <v>43163</v>
      </c>
      <c r="Y74" s="817">
        <v>13615.94</v>
      </c>
      <c r="Z74" s="760">
        <f t="shared" si="139"/>
        <v>43527</v>
      </c>
      <c r="AA74" s="775">
        <v>15379.46</v>
      </c>
      <c r="AB74" s="760">
        <f t="shared" ref="AB74" si="141">AB73+1</f>
        <v>43891</v>
      </c>
      <c r="AC74" s="769"/>
      <c r="AD74" s="865"/>
      <c r="AE74" s="203">
        <f>SUM(E68:E74)</f>
        <v>121767.03</v>
      </c>
      <c r="AF74" s="203">
        <f>SUM(G68:G74)</f>
        <v>85511.709999999992</v>
      </c>
      <c r="AG74" s="203">
        <f>SUM(I68:I74)</f>
        <v>80905.350000000006</v>
      </c>
      <c r="AH74" s="203">
        <f>SUM(K68:K74)</f>
        <v>78634.34</v>
      </c>
      <c r="AI74" s="203">
        <f>SUM(M68:M74)</f>
        <v>91690.17</v>
      </c>
      <c r="AJ74" s="751"/>
      <c r="AK74" s="752"/>
      <c r="AL74" s="754"/>
      <c r="AM74" s="762">
        <f t="shared" si="124"/>
        <v>0</v>
      </c>
      <c r="AN74" s="763">
        <f t="shared" si="132"/>
        <v>44255</v>
      </c>
    </row>
    <row r="75" spans="1:40" ht="15.75" hidden="1" thickBot="1">
      <c r="A75" s="7"/>
      <c r="C75" s="674" t="s">
        <v>282</v>
      </c>
      <c r="D75" s="676"/>
      <c r="E75" s="675"/>
      <c r="F75" s="676"/>
      <c r="G75" s="675"/>
      <c r="H75" s="676"/>
      <c r="I75" s="675"/>
      <c r="J75" s="677"/>
      <c r="K75" s="678"/>
      <c r="L75" s="677"/>
      <c r="M75" s="678"/>
      <c r="N75" s="677"/>
      <c r="O75" s="765">
        <f>SUM(O68:O74)</f>
        <v>101521.43</v>
      </c>
      <c r="P75" s="677"/>
      <c r="Q75" s="765">
        <f>SUM(Q68:Q74)</f>
        <v>105224.24</v>
      </c>
      <c r="R75" s="640"/>
      <c r="S75" s="721">
        <f>SUM(S68:S74)</f>
        <v>111873.63</v>
      </c>
      <c r="T75" s="640"/>
      <c r="U75" s="721">
        <f>SUM(U68:U74)</f>
        <v>107599.52000000002</v>
      </c>
      <c r="V75" s="640"/>
      <c r="W75" s="721">
        <f>SUM(W68:W74)</f>
        <v>104731.47</v>
      </c>
      <c r="X75" s="640"/>
      <c r="Y75" s="721">
        <f>SUM(Y68:Y74)</f>
        <v>101740.69</v>
      </c>
      <c r="Z75" s="640"/>
      <c r="AA75" s="839">
        <f>SUM(AA68:AA74)</f>
        <v>105616.65</v>
      </c>
      <c r="AB75" s="640"/>
      <c r="AC75" s="839">
        <f>SUM(AC68:AC74)</f>
        <v>0</v>
      </c>
      <c r="AD75" s="758"/>
      <c r="AE75" s="203"/>
      <c r="AF75" s="203"/>
      <c r="AG75" s="203"/>
      <c r="AH75" s="203"/>
      <c r="AI75" s="203"/>
      <c r="AJ75" s="641">
        <f>SUM(AJ68:AJ74)</f>
        <v>0</v>
      </c>
      <c r="AK75" s="642">
        <f>SUM(AK68:AK74)</f>
        <v>0</v>
      </c>
      <c r="AL75" s="642">
        <f>SUM(AL68:AL74)</f>
        <v>0</v>
      </c>
      <c r="AM75" s="643">
        <f>SUM(AM68:AM74)</f>
        <v>0</v>
      </c>
    </row>
    <row r="76" spans="1:40" hidden="1">
      <c r="A76" s="5">
        <v>3</v>
      </c>
      <c r="B76" s="16">
        <v>2</v>
      </c>
      <c r="C76" s="16" t="s">
        <v>103</v>
      </c>
      <c r="D76" s="694">
        <v>39510</v>
      </c>
      <c r="E76" s="695">
        <v>10348.790000000001</v>
      </c>
      <c r="F76" s="694">
        <v>39874</v>
      </c>
      <c r="G76" s="710">
        <v>0</v>
      </c>
      <c r="H76" s="694">
        <v>40238</v>
      </c>
      <c r="I76" s="695">
        <v>5916.85</v>
      </c>
      <c r="J76" s="701">
        <v>40602</v>
      </c>
      <c r="K76" s="695">
        <v>6372.96</v>
      </c>
      <c r="L76" s="683">
        <v>40973</v>
      </c>
      <c r="M76" s="707">
        <v>7976.95</v>
      </c>
      <c r="N76" s="683">
        <v>41337</v>
      </c>
      <c r="O76" s="690">
        <v>10063.98</v>
      </c>
      <c r="P76" s="689">
        <v>41701</v>
      </c>
      <c r="Q76" s="686">
        <v>4646.95</v>
      </c>
      <c r="R76" s="759">
        <f>R74+1</f>
        <v>42065</v>
      </c>
      <c r="S76" s="776">
        <v>9273.2000000000007</v>
      </c>
      <c r="T76" s="759">
        <f>T74+1</f>
        <v>42436</v>
      </c>
      <c r="U76" s="772">
        <v>8015.36</v>
      </c>
      <c r="V76" s="634">
        <f>V74+1</f>
        <v>42800</v>
      </c>
      <c r="W76" s="772">
        <v>8096.2</v>
      </c>
      <c r="X76" s="759">
        <f>X74+1</f>
        <v>43164</v>
      </c>
      <c r="Y76" s="776">
        <v>6163.01</v>
      </c>
      <c r="Z76" s="759">
        <f>Z74+1</f>
        <v>43528</v>
      </c>
      <c r="AA76" s="772">
        <v>7047.04</v>
      </c>
      <c r="AB76" s="759">
        <f>AB74+1</f>
        <v>43892</v>
      </c>
      <c r="AC76" s="767"/>
      <c r="AD76" s="863" t="s">
        <v>119</v>
      </c>
      <c r="AJ76" s="751"/>
      <c r="AK76" s="752"/>
      <c r="AL76" s="752"/>
      <c r="AM76" s="762">
        <f t="shared" ref="AM76:AM82" si="142">SUM(AJ76:AL76)</f>
        <v>0</v>
      </c>
      <c r="AN76" s="763">
        <f>AN74+1</f>
        <v>44256</v>
      </c>
    </row>
    <row r="77" spans="1:40" hidden="1">
      <c r="A77" s="7">
        <v>3</v>
      </c>
      <c r="B77">
        <v>2</v>
      </c>
      <c r="C77" t="s">
        <v>104</v>
      </c>
      <c r="D77" s="697">
        <v>39511</v>
      </c>
      <c r="E77" s="695">
        <v>10481.75</v>
      </c>
      <c r="F77" s="697">
        <v>39875</v>
      </c>
      <c r="G77" s="695">
        <v>8609.25</v>
      </c>
      <c r="H77" s="697">
        <v>40239</v>
      </c>
      <c r="I77" s="695">
        <v>12390.71</v>
      </c>
      <c r="J77" s="683">
        <v>40603</v>
      </c>
      <c r="K77" s="695">
        <v>12310.18</v>
      </c>
      <c r="L77" s="683">
        <v>40974</v>
      </c>
      <c r="M77" s="707">
        <v>11617.01</v>
      </c>
      <c r="N77" s="683">
        <v>41338</v>
      </c>
      <c r="O77" s="690">
        <v>11758.7</v>
      </c>
      <c r="P77" s="689">
        <v>41702</v>
      </c>
      <c r="Q77" s="686">
        <v>10579.1</v>
      </c>
      <c r="R77" s="760">
        <f>R76+1</f>
        <v>42066</v>
      </c>
      <c r="S77" s="777">
        <v>10321.700000000001</v>
      </c>
      <c r="T77" s="760">
        <f>T76+1</f>
        <v>42437</v>
      </c>
      <c r="U77" s="818">
        <v>11107.16</v>
      </c>
      <c r="V77" s="829">
        <f>V76+1</f>
        <v>42801</v>
      </c>
      <c r="W77" s="818">
        <v>9107.25</v>
      </c>
      <c r="X77" s="760">
        <f>X76+1</f>
        <v>43165</v>
      </c>
      <c r="Y77" s="827">
        <v>10292.82</v>
      </c>
      <c r="Z77" s="760">
        <f>Z76+1</f>
        <v>43529</v>
      </c>
      <c r="AA77" s="818">
        <v>11969.75</v>
      </c>
      <c r="AB77" s="760">
        <f>AB76+1</f>
        <v>43893</v>
      </c>
      <c r="AC77" s="837"/>
      <c r="AD77" s="864"/>
      <c r="AJ77" s="751"/>
      <c r="AK77" s="752"/>
      <c r="AL77" s="753"/>
      <c r="AM77" s="762">
        <f t="shared" si="142"/>
        <v>0</v>
      </c>
      <c r="AN77" s="763">
        <f>AN76+1</f>
        <v>44257</v>
      </c>
    </row>
    <row r="78" spans="1:40" hidden="1">
      <c r="A78" s="7">
        <v>3</v>
      </c>
      <c r="B78">
        <v>2</v>
      </c>
      <c r="C78" t="s">
        <v>105</v>
      </c>
      <c r="D78" s="697">
        <v>39512</v>
      </c>
      <c r="E78" s="695">
        <v>14049.1</v>
      </c>
      <c r="F78" s="697">
        <v>39876</v>
      </c>
      <c r="G78" s="695">
        <v>8060.59</v>
      </c>
      <c r="H78" s="697">
        <v>40240</v>
      </c>
      <c r="I78" s="695">
        <v>7830.93</v>
      </c>
      <c r="J78" s="683">
        <v>40604</v>
      </c>
      <c r="K78" s="695">
        <v>10976.16</v>
      </c>
      <c r="L78" s="683">
        <v>40975</v>
      </c>
      <c r="M78" s="707">
        <v>15641.15</v>
      </c>
      <c r="N78" s="683">
        <v>41339</v>
      </c>
      <c r="O78" s="690">
        <v>9010.4500000000007</v>
      </c>
      <c r="P78" s="689">
        <v>41703</v>
      </c>
      <c r="Q78" s="686">
        <v>16592.8</v>
      </c>
      <c r="R78" s="760">
        <f t="shared" ref="R78:T82" si="143">R77+1</f>
        <v>42067</v>
      </c>
      <c r="S78" s="777">
        <v>12439.45</v>
      </c>
      <c r="T78" s="760">
        <f t="shared" si="143"/>
        <v>42438</v>
      </c>
      <c r="U78" s="774">
        <v>11716.71</v>
      </c>
      <c r="V78" s="829">
        <f t="shared" ref="V78:Z78" si="144">V77+1</f>
        <v>42802</v>
      </c>
      <c r="W78" s="774">
        <v>11927.25</v>
      </c>
      <c r="X78" s="760">
        <f t="shared" ref="X78" si="145">X77+1</f>
        <v>43166</v>
      </c>
      <c r="Y78" s="777">
        <v>0</v>
      </c>
      <c r="Z78" s="760">
        <f t="shared" si="144"/>
        <v>43530</v>
      </c>
      <c r="AA78" s="774">
        <v>12957.94</v>
      </c>
      <c r="AB78" s="760">
        <f t="shared" ref="AB78" si="146">AB77+1</f>
        <v>43894</v>
      </c>
      <c r="AC78" s="768"/>
      <c r="AD78" s="864"/>
      <c r="AJ78" s="751"/>
      <c r="AK78" s="752"/>
      <c r="AL78" s="753"/>
      <c r="AM78" s="762">
        <f t="shared" si="142"/>
        <v>0</v>
      </c>
      <c r="AN78" s="763">
        <f t="shared" ref="AN78:AN82" si="147">AN77+1</f>
        <v>44258</v>
      </c>
    </row>
    <row r="79" spans="1:40" hidden="1">
      <c r="A79" s="7">
        <v>3</v>
      </c>
      <c r="B79">
        <v>2</v>
      </c>
      <c r="C79" t="s">
        <v>106</v>
      </c>
      <c r="D79" s="697">
        <v>39513</v>
      </c>
      <c r="E79" s="695">
        <v>22061.21</v>
      </c>
      <c r="F79" s="697">
        <v>39877</v>
      </c>
      <c r="G79" s="695">
        <v>12542.05</v>
      </c>
      <c r="H79" s="697">
        <v>40241</v>
      </c>
      <c r="I79" s="695">
        <v>14384.07</v>
      </c>
      <c r="J79" s="683">
        <v>40605</v>
      </c>
      <c r="K79" s="695">
        <v>11230.44</v>
      </c>
      <c r="L79" s="683">
        <v>40976</v>
      </c>
      <c r="M79" s="707">
        <v>13130.95</v>
      </c>
      <c r="N79" s="683">
        <v>41340</v>
      </c>
      <c r="O79" s="690">
        <v>7087.05</v>
      </c>
      <c r="P79" s="689">
        <v>41704</v>
      </c>
      <c r="Q79" s="686">
        <v>17518.599999999999</v>
      </c>
      <c r="R79" s="760">
        <f t="shared" si="143"/>
        <v>42068</v>
      </c>
      <c r="S79" s="777">
        <v>11424.1</v>
      </c>
      <c r="T79" s="760">
        <f t="shared" si="143"/>
        <v>42439</v>
      </c>
      <c r="U79" s="774">
        <v>12635.75</v>
      </c>
      <c r="V79" s="829">
        <f t="shared" ref="V79:Z79" si="148">V78+1</f>
        <v>42803</v>
      </c>
      <c r="W79" s="774">
        <v>14913.36</v>
      </c>
      <c r="X79" s="760">
        <f t="shared" ref="X79" si="149">X78+1</f>
        <v>43167</v>
      </c>
      <c r="Y79" s="777">
        <v>9382.91</v>
      </c>
      <c r="Z79" s="760">
        <f t="shared" si="148"/>
        <v>43531</v>
      </c>
      <c r="AA79" s="774">
        <v>12022</v>
      </c>
      <c r="AB79" s="760">
        <f t="shared" ref="AB79" si="150">AB78+1</f>
        <v>43895</v>
      </c>
      <c r="AC79" s="768"/>
      <c r="AD79" s="864"/>
      <c r="AJ79" s="751"/>
      <c r="AK79" s="752"/>
      <c r="AL79" s="753"/>
      <c r="AM79" s="762">
        <f t="shared" si="142"/>
        <v>0</v>
      </c>
      <c r="AN79" s="763">
        <f t="shared" si="147"/>
        <v>44259</v>
      </c>
    </row>
    <row r="80" spans="1:40" hidden="1">
      <c r="A80" s="7">
        <v>3</v>
      </c>
      <c r="B80">
        <v>2</v>
      </c>
      <c r="C80" t="s">
        <v>107</v>
      </c>
      <c r="D80" s="697">
        <v>39514</v>
      </c>
      <c r="E80" s="695">
        <v>24389.83</v>
      </c>
      <c r="F80" s="697">
        <v>39878</v>
      </c>
      <c r="G80" s="695">
        <v>18914.060000000001</v>
      </c>
      <c r="H80" s="697">
        <v>40242</v>
      </c>
      <c r="I80" s="695">
        <v>20006.810000000001</v>
      </c>
      <c r="J80" s="683">
        <v>40606</v>
      </c>
      <c r="K80" s="695">
        <v>19110.919999999998</v>
      </c>
      <c r="L80" s="683">
        <v>40977</v>
      </c>
      <c r="M80" s="707">
        <v>21944.85</v>
      </c>
      <c r="N80" s="683">
        <v>41341</v>
      </c>
      <c r="O80" s="690">
        <v>13939.11</v>
      </c>
      <c r="P80" s="689">
        <v>41705</v>
      </c>
      <c r="Q80" s="686">
        <v>24253.08</v>
      </c>
      <c r="R80" s="760">
        <f t="shared" si="143"/>
        <v>42069</v>
      </c>
      <c r="S80" s="777">
        <v>24998.9</v>
      </c>
      <c r="T80" s="760">
        <f t="shared" si="143"/>
        <v>42440</v>
      </c>
      <c r="U80" s="774">
        <v>22497.8</v>
      </c>
      <c r="V80" s="829">
        <f t="shared" ref="V80:Z80" si="151">V79+1</f>
        <v>42804</v>
      </c>
      <c r="W80" s="774">
        <v>22209.47</v>
      </c>
      <c r="X80" s="760">
        <f t="shared" ref="X80" si="152">X79+1</f>
        <v>43168</v>
      </c>
      <c r="Y80" s="777">
        <v>22836.41</v>
      </c>
      <c r="Z80" s="760">
        <f t="shared" si="151"/>
        <v>43532</v>
      </c>
      <c r="AA80" s="774">
        <v>23844.29</v>
      </c>
      <c r="AB80" s="760">
        <f t="shared" ref="AB80" si="153">AB79+1</f>
        <v>43896</v>
      </c>
      <c r="AC80" s="768"/>
      <c r="AD80" s="864"/>
      <c r="AJ80" s="751"/>
      <c r="AK80" s="752"/>
      <c r="AL80" s="753"/>
      <c r="AM80" s="762">
        <f t="shared" si="142"/>
        <v>0</v>
      </c>
      <c r="AN80" s="763">
        <f t="shared" si="147"/>
        <v>44260</v>
      </c>
    </row>
    <row r="81" spans="1:40" hidden="1">
      <c r="A81" s="7">
        <v>3</v>
      </c>
      <c r="B81">
        <v>2</v>
      </c>
      <c r="C81" t="s">
        <v>108</v>
      </c>
      <c r="D81" s="697">
        <v>39515</v>
      </c>
      <c r="E81" s="695">
        <v>33184.14</v>
      </c>
      <c r="F81" s="697">
        <v>39879</v>
      </c>
      <c r="G81" s="695">
        <v>27781.11</v>
      </c>
      <c r="H81" s="697">
        <v>40243</v>
      </c>
      <c r="I81" s="695">
        <v>19471.28</v>
      </c>
      <c r="J81" s="683">
        <v>40607</v>
      </c>
      <c r="K81" s="695">
        <v>21602.43</v>
      </c>
      <c r="L81" s="683">
        <v>40978</v>
      </c>
      <c r="M81" s="707">
        <v>24347.95</v>
      </c>
      <c r="N81" s="683">
        <v>41342</v>
      </c>
      <c r="O81" s="690">
        <v>25736.45</v>
      </c>
      <c r="P81" s="689">
        <v>41706</v>
      </c>
      <c r="Q81" s="686">
        <v>23772.35</v>
      </c>
      <c r="R81" s="760">
        <f t="shared" si="143"/>
        <v>42070</v>
      </c>
      <c r="S81" s="777">
        <v>24505.23</v>
      </c>
      <c r="T81" s="760">
        <f t="shared" si="143"/>
        <v>42441</v>
      </c>
      <c r="U81" s="774">
        <v>24601.119999999999</v>
      </c>
      <c r="V81" s="829">
        <f t="shared" ref="V81:Z81" si="154">V80+1</f>
        <v>42805</v>
      </c>
      <c r="W81" s="774">
        <v>23101.26</v>
      </c>
      <c r="X81" s="760">
        <f t="shared" ref="X81" si="155">X80+1</f>
        <v>43169</v>
      </c>
      <c r="Y81" s="777">
        <v>40893.17</v>
      </c>
      <c r="Z81" s="760">
        <f t="shared" si="154"/>
        <v>43533</v>
      </c>
      <c r="AA81" s="774">
        <v>24608.68</v>
      </c>
      <c r="AB81" s="760">
        <f t="shared" ref="AB81" si="156">AB80+1</f>
        <v>43897</v>
      </c>
      <c r="AC81" s="768"/>
      <c r="AD81" s="864"/>
      <c r="AJ81" s="751"/>
      <c r="AK81" s="752"/>
      <c r="AL81" s="753"/>
      <c r="AM81" s="762">
        <f t="shared" si="142"/>
        <v>0</v>
      </c>
      <c r="AN81" s="763">
        <f t="shared" si="147"/>
        <v>44261</v>
      </c>
    </row>
    <row r="82" spans="1:40" ht="15.75" hidden="1" thickBot="1">
      <c r="A82" s="12">
        <v>3</v>
      </c>
      <c r="B82" s="14">
        <v>2</v>
      </c>
      <c r="C82" s="14" t="s">
        <v>109</v>
      </c>
      <c r="D82" s="699">
        <v>39516</v>
      </c>
      <c r="F82" s="699">
        <v>39880</v>
      </c>
      <c r="H82" s="699">
        <v>40244</v>
      </c>
      <c r="I82" s="695">
        <v>7511.38</v>
      </c>
      <c r="J82" s="700">
        <v>40608</v>
      </c>
      <c r="K82" s="695">
        <v>3570.34</v>
      </c>
      <c r="L82" s="683">
        <v>40979</v>
      </c>
      <c r="M82" s="707">
        <v>8979.7000000000007</v>
      </c>
      <c r="N82" s="683">
        <v>41343</v>
      </c>
      <c r="O82" s="690">
        <v>9556.35</v>
      </c>
      <c r="P82" s="689">
        <v>41707</v>
      </c>
      <c r="Q82" s="686">
        <v>10557.85</v>
      </c>
      <c r="R82" s="760">
        <f t="shared" si="143"/>
        <v>42071</v>
      </c>
      <c r="S82" s="778">
        <v>13387.06</v>
      </c>
      <c r="T82" s="760">
        <f t="shared" si="143"/>
        <v>42442</v>
      </c>
      <c r="U82" s="775">
        <v>9395.81</v>
      </c>
      <c r="V82" s="829">
        <f t="shared" ref="V82:Z82" si="157">V81+1</f>
        <v>42806</v>
      </c>
      <c r="W82" s="775">
        <v>12624.8</v>
      </c>
      <c r="X82" s="760">
        <f t="shared" ref="X82" si="158">X81+1</f>
        <v>43170</v>
      </c>
      <c r="Y82" s="817">
        <v>0</v>
      </c>
      <c r="Z82" s="760">
        <f t="shared" si="157"/>
        <v>43534</v>
      </c>
      <c r="AA82" s="775">
        <v>8492.4699999999993</v>
      </c>
      <c r="AB82" s="760">
        <f t="shared" ref="AB82" si="159">AB81+1</f>
        <v>43898</v>
      </c>
      <c r="AC82" s="769"/>
      <c r="AD82" s="865"/>
      <c r="AE82" s="203">
        <f>SUM(E76:E82)</f>
        <v>114514.81999999999</v>
      </c>
      <c r="AF82" s="203">
        <f>SUM(G76:G82)</f>
        <v>75907.06</v>
      </c>
      <c r="AG82" s="203">
        <f>SUM(I76:I82)</f>
        <v>87512.03</v>
      </c>
      <c r="AH82" s="203">
        <f>SUM(K76:K82)</f>
        <v>85173.43</v>
      </c>
      <c r="AI82" s="203">
        <f>SUM(M76:M82)</f>
        <v>103638.56</v>
      </c>
      <c r="AJ82" s="751"/>
      <c r="AK82" s="752"/>
      <c r="AL82" s="754"/>
      <c r="AM82" s="762">
        <f t="shared" si="142"/>
        <v>0</v>
      </c>
      <c r="AN82" s="763">
        <f t="shared" si="147"/>
        <v>44262</v>
      </c>
    </row>
    <row r="83" spans="1:40" ht="15.75" hidden="1" thickBot="1">
      <c r="A83" s="7"/>
      <c r="C83" s="674" t="s">
        <v>282</v>
      </c>
      <c r="D83" s="676"/>
      <c r="E83" s="675"/>
      <c r="F83" s="676"/>
      <c r="G83" s="675"/>
      <c r="H83" s="676"/>
      <c r="I83" s="675"/>
      <c r="J83" s="677"/>
      <c r="K83" s="678"/>
      <c r="L83" s="677"/>
      <c r="M83" s="678"/>
      <c r="N83" s="677"/>
      <c r="O83" s="765">
        <f>SUM(O76:O82)</f>
        <v>87152.090000000011</v>
      </c>
      <c r="P83" s="677"/>
      <c r="Q83" s="765">
        <f>SUM(Q76:Q82)</f>
        <v>107920.73000000001</v>
      </c>
      <c r="R83" s="640"/>
      <c r="S83" s="721">
        <f>SUM(S76:S82)</f>
        <v>106349.64</v>
      </c>
      <c r="T83" s="640"/>
      <c r="U83" s="721">
        <f>SUM(U76:U82)</f>
        <v>99969.709999999992</v>
      </c>
      <c r="V83" s="640"/>
      <c r="W83" s="721">
        <f>SUM(W76:W82)</f>
        <v>101979.59</v>
      </c>
      <c r="X83" s="640"/>
      <c r="Y83" s="721">
        <f>SUM(Y76:Y82)</f>
        <v>89568.320000000007</v>
      </c>
      <c r="Z83" s="640"/>
      <c r="AA83" s="721">
        <f>SUM(AA76:AA82)</f>
        <v>100942.17000000001</v>
      </c>
      <c r="AB83" s="640"/>
      <c r="AC83" s="721">
        <f>SUM(AC76:AC82)</f>
        <v>0</v>
      </c>
      <c r="AD83" s="758"/>
      <c r="AE83" s="203"/>
      <c r="AF83" s="203"/>
      <c r="AG83" s="203"/>
      <c r="AH83" s="203"/>
      <c r="AI83" s="203"/>
      <c r="AJ83" s="641">
        <f>SUM(AJ76:AJ82)</f>
        <v>0</v>
      </c>
      <c r="AK83" s="642">
        <f>SUM(AK76:AK82)</f>
        <v>0</v>
      </c>
      <c r="AL83" s="642">
        <f>SUM(AL76:AL82)</f>
        <v>0</v>
      </c>
      <c r="AM83" s="643">
        <f>SUM(AM76:AM82)</f>
        <v>0</v>
      </c>
    </row>
    <row r="84" spans="1:40" hidden="1">
      <c r="A84" s="5">
        <v>3</v>
      </c>
      <c r="B84" s="16">
        <v>3</v>
      </c>
      <c r="C84" s="16" t="s">
        <v>103</v>
      </c>
      <c r="D84" s="694">
        <v>39517</v>
      </c>
      <c r="E84" s="695">
        <v>10565.45</v>
      </c>
      <c r="F84" s="694">
        <v>39881</v>
      </c>
      <c r="G84" s="695">
        <v>6947.59</v>
      </c>
      <c r="H84" s="694">
        <v>40245</v>
      </c>
      <c r="I84" s="695">
        <v>9127.16</v>
      </c>
      <c r="J84" s="701">
        <v>40609</v>
      </c>
      <c r="K84" s="695">
        <v>5413.17</v>
      </c>
      <c r="L84" s="683">
        <v>40980</v>
      </c>
      <c r="M84" s="707">
        <v>12620.4</v>
      </c>
      <c r="N84" s="683">
        <v>41344</v>
      </c>
      <c r="O84" s="690">
        <v>5850.35</v>
      </c>
      <c r="P84" s="689">
        <v>41708</v>
      </c>
      <c r="Q84" s="686">
        <v>8576.7999999999993</v>
      </c>
      <c r="R84" s="759">
        <f>R82+1</f>
        <v>42072</v>
      </c>
      <c r="S84" s="776">
        <v>7190.16</v>
      </c>
      <c r="T84" s="759">
        <f>T82+1</f>
        <v>42443</v>
      </c>
      <c r="U84" s="772">
        <v>9671.0499999999993</v>
      </c>
      <c r="V84" s="634">
        <f>V82+1</f>
        <v>42807</v>
      </c>
      <c r="W84" s="772">
        <v>8638.9599999999991</v>
      </c>
      <c r="X84" s="759">
        <f>X82+1</f>
        <v>43171</v>
      </c>
      <c r="Y84" s="776">
        <v>9169</v>
      </c>
      <c r="Z84" s="759">
        <f>Z82+1</f>
        <v>43535</v>
      </c>
      <c r="AA84" s="772">
        <v>9322.58</v>
      </c>
      <c r="AB84" s="759">
        <f>AB82+1</f>
        <v>43899</v>
      </c>
      <c r="AC84" s="767"/>
      <c r="AD84" s="863" t="s">
        <v>120</v>
      </c>
      <c r="AJ84" s="751"/>
      <c r="AK84" s="752"/>
      <c r="AL84" s="752"/>
      <c r="AM84" s="762">
        <f t="shared" ref="AM84:AM90" si="160">SUM(AJ84:AL84)</f>
        <v>0</v>
      </c>
      <c r="AN84" s="763">
        <f>AN82+1</f>
        <v>44263</v>
      </c>
    </row>
    <row r="85" spans="1:40" hidden="1">
      <c r="A85" s="7">
        <v>3</v>
      </c>
      <c r="B85">
        <v>3</v>
      </c>
      <c r="C85" t="s">
        <v>104</v>
      </c>
      <c r="D85" s="697">
        <v>39518</v>
      </c>
      <c r="E85" s="695">
        <v>16732.32</v>
      </c>
      <c r="F85" s="697">
        <v>39882</v>
      </c>
      <c r="G85" s="695">
        <v>9784.15</v>
      </c>
      <c r="H85" s="697">
        <v>40246</v>
      </c>
      <c r="I85" s="695">
        <v>10245.540000000001</v>
      </c>
      <c r="J85" s="683">
        <v>40610</v>
      </c>
      <c r="K85" s="695">
        <v>10655.24</v>
      </c>
      <c r="L85" s="683">
        <v>40981</v>
      </c>
      <c r="M85" s="707">
        <v>10687.8</v>
      </c>
      <c r="N85" s="683">
        <v>41345</v>
      </c>
      <c r="O85" s="690">
        <v>13076</v>
      </c>
      <c r="P85" s="689">
        <v>41709</v>
      </c>
      <c r="Q85" s="686">
        <v>9173.2999999999993</v>
      </c>
      <c r="R85" s="760">
        <f>R84+1</f>
        <v>42073</v>
      </c>
      <c r="S85" s="777">
        <v>10250.75</v>
      </c>
      <c r="T85" s="760">
        <f>T84+1</f>
        <v>42444</v>
      </c>
      <c r="U85" s="818">
        <v>15230.72</v>
      </c>
      <c r="V85" s="829">
        <f>V84+1</f>
        <v>42808</v>
      </c>
      <c r="W85" s="818"/>
      <c r="X85" s="760">
        <f>X84+1</f>
        <v>43172</v>
      </c>
      <c r="Y85" s="827">
        <v>0</v>
      </c>
      <c r="Z85" s="760">
        <f>Z84+1</f>
        <v>43536</v>
      </c>
      <c r="AA85" s="818">
        <v>13097.87</v>
      </c>
      <c r="AB85" s="760">
        <f>AB84+1</f>
        <v>43900</v>
      </c>
      <c r="AC85" s="837"/>
      <c r="AD85" s="864"/>
      <c r="AJ85" s="751"/>
      <c r="AK85" s="752"/>
      <c r="AL85" s="753"/>
      <c r="AM85" s="762">
        <f t="shared" si="160"/>
        <v>0</v>
      </c>
      <c r="AN85" s="763">
        <f>AN84+1</f>
        <v>44264</v>
      </c>
    </row>
    <row r="86" spans="1:40" hidden="1">
      <c r="A86" s="7">
        <v>3</v>
      </c>
      <c r="B86">
        <v>3</v>
      </c>
      <c r="C86" t="s">
        <v>105</v>
      </c>
      <c r="D86" s="697">
        <v>39519</v>
      </c>
      <c r="E86" s="695">
        <v>17065.419999999998</v>
      </c>
      <c r="F86" s="697">
        <v>39883</v>
      </c>
      <c r="G86" s="695">
        <v>10193.41</v>
      </c>
      <c r="H86" s="697">
        <v>40247</v>
      </c>
      <c r="I86" s="695">
        <v>10535.63</v>
      </c>
      <c r="J86" s="683">
        <v>40611</v>
      </c>
      <c r="K86" s="695">
        <v>12839.63</v>
      </c>
      <c r="L86" s="683">
        <v>40982</v>
      </c>
      <c r="M86" s="707">
        <v>9583.7999999999993</v>
      </c>
      <c r="N86" s="683">
        <v>41346</v>
      </c>
      <c r="O86" s="690">
        <v>12823.51</v>
      </c>
      <c r="P86" s="689">
        <v>41710</v>
      </c>
      <c r="Q86" s="686">
        <v>10340.6</v>
      </c>
      <c r="R86" s="760">
        <f t="shared" ref="R86:T90" si="161">R85+1</f>
        <v>42074</v>
      </c>
      <c r="S86" s="777">
        <v>18619.349999999999</v>
      </c>
      <c r="T86" s="760">
        <f t="shared" si="161"/>
        <v>42445</v>
      </c>
      <c r="U86" s="774">
        <v>13579.1</v>
      </c>
      <c r="V86" s="829">
        <f t="shared" ref="V86:Z86" si="162">V85+1</f>
        <v>42809</v>
      </c>
      <c r="W86" s="774">
        <v>9955.16</v>
      </c>
      <c r="X86" s="760">
        <f t="shared" ref="X86" si="163">X85+1</f>
        <v>43173</v>
      </c>
      <c r="Y86" s="777">
        <v>15220.44</v>
      </c>
      <c r="Z86" s="760">
        <f t="shared" si="162"/>
        <v>43537</v>
      </c>
      <c r="AA86" s="774">
        <v>12853.56</v>
      </c>
      <c r="AB86" s="760">
        <f t="shared" ref="AB86" si="164">AB85+1</f>
        <v>43901</v>
      </c>
      <c r="AC86" s="768"/>
      <c r="AD86" s="864"/>
      <c r="AJ86" s="751"/>
      <c r="AK86" s="752"/>
      <c r="AL86" s="753"/>
      <c r="AM86" s="762">
        <f t="shared" si="160"/>
        <v>0</v>
      </c>
      <c r="AN86" s="763">
        <f t="shared" ref="AN86:AN90" si="165">AN85+1</f>
        <v>44265</v>
      </c>
    </row>
    <row r="87" spans="1:40" hidden="1">
      <c r="A87" s="7">
        <v>3</v>
      </c>
      <c r="B87">
        <v>3</v>
      </c>
      <c r="C87" t="s">
        <v>106</v>
      </c>
      <c r="D87" s="697">
        <v>39520</v>
      </c>
      <c r="E87" s="695">
        <v>14870.89</v>
      </c>
      <c r="F87" s="697">
        <v>39884</v>
      </c>
      <c r="G87" s="695">
        <v>10823.96</v>
      </c>
      <c r="H87" s="697">
        <v>40248</v>
      </c>
      <c r="I87" s="695">
        <v>11283.22</v>
      </c>
      <c r="J87" s="683">
        <v>40612</v>
      </c>
      <c r="K87" s="695">
        <v>11002.01</v>
      </c>
      <c r="L87" s="683">
        <v>40983</v>
      </c>
      <c r="M87" s="707">
        <v>9717.0499999999993</v>
      </c>
      <c r="N87" s="683">
        <v>41347</v>
      </c>
      <c r="O87" s="690">
        <v>12253.55</v>
      </c>
      <c r="P87" s="689">
        <v>41711</v>
      </c>
      <c r="Q87" s="686">
        <v>13016.85</v>
      </c>
      <c r="R87" s="760">
        <f t="shared" si="161"/>
        <v>42075</v>
      </c>
      <c r="S87" s="777">
        <v>16328.66</v>
      </c>
      <c r="T87" s="760">
        <f t="shared" si="161"/>
        <v>42446</v>
      </c>
      <c r="U87" s="774">
        <v>17263.560000000001</v>
      </c>
      <c r="V87" s="829">
        <f t="shared" ref="V87:Z87" si="166">V86+1</f>
        <v>42810</v>
      </c>
      <c r="W87" s="774">
        <v>11885.75</v>
      </c>
      <c r="X87" s="760">
        <f t="shared" ref="X87" si="167">X86+1</f>
        <v>43174</v>
      </c>
      <c r="Y87" s="777">
        <v>13390.6</v>
      </c>
      <c r="Z87" s="760">
        <f t="shared" si="166"/>
        <v>43538</v>
      </c>
      <c r="AA87" s="774">
        <v>16722.990000000002</v>
      </c>
      <c r="AB87" s="760">
        <f t="shared" ref="AB87" si="168">AB86+1</f>
        <v>43902</v>
      </c>
      <c r="AC87" s="768"/>
      <c r="AD87" s="864"/>
      <c r="AJ87" s="751"/>
      <c r="AK87" s="752"/>
      <c r="AL87" s="753"/>
      <c r="AM87" s="762">
        <f t="shared" si="160"/>
        <v>0</v>
      </c>
      <c r="AN87" s="763">
        <f t="shared" si="165"/>
        <v>44266</v>
      </c>
    </row>
    <row r="88" spans="1:40" hidden="1">
      <c r="A88" s="7">
        <v>3</v>
      </c>
      <c r="B88">
        <v>3</v>
      </c>
      <c r="C88" t="s">
        <v>107</v>
      </c>
      <c r="D88" s="697">
        <v>39521</v>
      </c>
      <c r="E88" s="695">
        <v>25650.58</v>
      </c>
      <c r="F88" s="697">
        <v>39885</v>
      </c>
      <c r="G88" s="695">
        <v>20085.169999999998</v>
      </c>
      <c r="H88" s="697">
        <v>40249</v>
      </c>
      <c r="I88" s="695">
        <v>18444.8</v>
      </c>
      <c r="J88" s="683">
        <v>40613</v>
      </c>
      <c r="K88" s="695">
        <v>18979.060000000001</v>
      </c>
      <c r="L88" s="683">
        <v>40984</v>
      </c>
      <c r="M88" s="707">
        <v>20680.240000000002</v>
      </c>
      <c r="N88" s="683">
        <v>41348</v>
      </c>
      <c r="O88" s="690">
        <v>23455.46</v>
      </c>
      <c r="P88" s="689">
        <v>41712</v>
      </c>
      <c r="Q88" s="686">
        <v>25389.91</v>
      </c>
      <c r="R88" s="760">
        <f t="shared" si="161"/>
        <v>42076</v>
      </c>
      <c r="S88" s="777">
        <v>28799.3</v>
      </c>
      <c r="T88" s="760">
        <f t="shared" si="161"/>
        <v>42447</v>
      </c>
      <c r="U88" s="774">
        <v>22043.61</v>
      </c>
      <c r="V88" s="829">
        <f t="shared" ref="V88:Z88" si="169">V87+1</f>
        <v>42811</v>
      </c>
      <c r="W88" s="774">
        <v>24253.8</v>
      </c>
      <c r="X88" s="760">
        <f t="shared" ref="X88" si="170">X87+1</f>
        <v>43175</v>
      </c>
      <c r="Y88" s="777">
        <v>21746.15</v>
      </c>
      <c r="Z88" s="760">
        <f t="shared" si="169"/>
        <v>43539</v>
      </c>
      <c r="AA88" s="774">
        <v>22847.29</v>
      </c>
      <c r="AB88" s="760">
        <f t="shared" ref="AB88" si="171">AB87+1</f>
        <v>43903</v>
      </c>
      <c r="AC88" s="768"/>
      <c r="AD88" s="864"/>
      <c r="AJ88" s="751"/>
      <c r="AK88" s="752"/>
      <c r="AL88" s="753"/>
      <c r="AM88" s="762">
        <f t="shared" si="160"/>
        <v>0</v>
      </c>
      <c r="AN88" s="763">
        <f t="shared" si="165"/>
        <v>44267</v>
      </c>
    </row>
    <row r="89" spans="1:40" hidden="1">
      <c r="A89" s="7">
        <v>3</v>
      </c>
      <c r="B89">
        <v>3</v>
      </c>
      <c r="C89" t="s">
        <v>108</v>
      </c>
      <c r="D89" s="697">
        <v>39522</v>
      </c>
      <c r="E89" s="695">
        <v>23758.38</v>
      </c>
      <c r="F89" s="697">
        <v>39886</v>
      </c>
      <c r="G89" s="695">
        <v>21889.119999999999</v>
      </c>
      <c r="H89" s="697">
        <v>40250</v>
      </c>
      <c r="I89" s="695">
        <v>14069.53</v>
      </c>
      <c r="J89" s="683">
        <v>40614</v>
      </c>
      <c r="K89" s="695">
        <v>19273.72</v>
      </c>
      <c r="L89" s="683">
        <v>40985</v>
      </c>
      <c r="M89" s="707">
        <v>20397.349999999999</v>
      </c>
      <c r="N89" s="683">
        <v>41349</v>
      </c>
      <c r="O89" s="690">
        <v>19395.759999999998</v>
      </c>
      <c r="P89" s="689">
        <v>41713</v>
      </c>
      <c r="Q89" s="686">
        <v>22953.45</v>
      </c>
      <c r="R89" s="760">
        <f t="shared" si="161"/>
        <v>42077</v>
      </c>
      <c r="S89" s="777">
        <v>22545.66</v>
      </c>
      <c r="T89" s="760">
        <f t="shared" si="161"/>
        <v>42448</v>
      </c>
      <c r="U89" s="774">
        <v>20882.21</v>
      </c>
      <c r="V89" s="829">
        <f t="shared" ref="V89:Z89" si="172">V88+1</f>
        <v>42812</v>
      </c>
      <c r="W89" s="774">
        <v>21100.85</v>
      </c>
      <c r="X89" s="760">
        <f t="shared" ref="X89" si="173">X88+1</f>
        <v>43176</v>
      </c>
      <c r="Y89" s="777">
        <v>24158.97</v>
      </c>
      <c r="Z89" s="760">
        <f t="shared" si="172"/>
        <v>43540</v>
      </c>
      <c r="AA89" s="774">
        <v>23474.76</v>
      </c>
      <c r="AB89" s="760">
        <f t="shared" ref="AB89" si="174">AB88+1</f>
        <v>43904</v>
      </c>
      <c r="AC89" s="768"/>
      <c r="AD89" s="864"/>
      <c r="AJ89" s="751"/>
      <c r="AK89" s="752"/>
      <c r="AL89" s="753"/>
      <c r="AM89" s="762">
        <f t="shared" si="160"/>
        <v>0</v>
      </c>
      <c r="AN89" s="763">
        <f t="shared" si="165"/>
        <v>44268</v>
      </c>
    </row>
    <row r="90" spans="1:40" ht="15.75" hidden="1" thickBot="1">
      <c r="A90" s="12">
        <v>3</v>
      </c>
      <c r="B90" s="14">
        <v>3</v>
      </c>
      <c r="C90" s="14" t="s">
        <v>109</v>
      </c>
      <c r="D90" s="699">
        <v>39523</v>
      </c>
      <c r="E90" s="695">
        <v>8040.3</v>
      </c>
      <c r="F90" s="699">
        <v>39887</v>
      </c>
      <c r="G90" s="695">
        <v>7155.04</v>
      </c>
      <c r="H90" s="699">
        <v>40251</v>
      </c>
      <c r="I90" s="695">
        <v>5643.37</v>
      </c>
      <c r="J90" s="700">
        <v>40615</v>
      </c>
      <c r="K90" s="695">
        <v>4647.62</v>
      </c>
      <c r="L90" s="683">
        <v>40986</v>
      </c>
      <c r="M90" s="707">
        <v>8510.2000000000007</v>
      </c>
      <c r="N90" s="683">
        <v>41350</v>
      </c>
      <c r="O90" s="690">
        <v>13110.4</v>
      </c>
      <c r="P90" s="689">
        <v>41714</v>
      </c>
      <c r="Q90" s="686">
        <v>11781.7</v>
      </c>
      <c r="R90" s="760">
        <f t="shared" si="161"/>
        <v>42078</v>
      </c>
      <c r="S90" s="778">
        <v>12205.26</v>
      </c>
      <c r="T90" s="760">
        <f t="shared" si="161"/>
        <v>42449</v>
      </c>
      <c r="U90" s="775">
        <v>9521.68</v>
      </c>
      <c r="V90" s="829">
        <f t="shared" ref="V90:Z90" si="175">V89+1</f>
        <v>42813</v>
      </c>
      <c r="W90" s="775">
        <v>12328.36</v>
      </c>
      <c r="X90" s="760">
        <f t="shared" ref="X90" si="176">X89+1</f>
        <v>43177</v>
      </c>
      <c r="Y90" s="817">
        <v>12980.74</v>
      </c>
      <c r="Z90" s="760">
        <f t="shared" si="175"/>
        <v>43541</v>
      </c>
      <c r="AA90" s="775">
        <v>14588.94</v>
      </c>
      <c r="AB90" s="760">
        <f t="shared" ref="AB90" si="177">AB89+1</f>
        <v>43905</v>
      </c>
      <c r="AC90" s="769"/>
      <c r="AD90" s="865"/>
      <c r="AE90" s="203">
        <f>SUM(E84:E90)</f>
        <v>116683.34000000001</v>
      </c>
      <c r="AF90" s="203">
        <f>SUM(G84:G90)</f>
        <v>86878.439999999988</v>
      </c>
      <c r="AG90" s="203">
        <f>SUM(I84:I90)</f>
        <v>79349.25</v>
      </c>
      <c r="AH90" s="203">
        <f>SUM(K84:K90)</f>
        <v>82810.45</v>
      </c>
      <c r="AI90" s="203">
        <f>SUM(M84:M90)</f>
        <v>92196.840000000011</v>
      </c>
      <c r="AJ90" s="751"/>
      <c r="AK90" s="752"/>
      <c r="AL90" s="754"/>
      <c r="AM90" s="762">
        <f t="shared" si="160"/>
        <v>0</v>
      </c>
      <c r="AN90" s="763">
        <f t="shared" si="165"/>
        <v>44269</v>
      </c>
    </row>
    <row r="91" spans="1:40" ht="15.75" hidden="1" thickBot="1">
      <c r="A91" s="7"/>
      <c r="C91" s="674" t="s">
        <v>282</v>
      </c>
      <c r="D91" s="676"/>
      <c r="E91" s="675"/>
      <c r="F91" s="676"/>
      <c r="G91" s="675"/>
      <c r="H91" s="676"/>
      <c r="I91" s="675"/>
      <c r="J91" s="677"/>
      <c r="K91" s="678"/>
      <c r="L91" s="677"/>
      <c r="M91" s="678"/>
      <c r="N91" s="677"/>
      <c r="O91" s="765">
        <f>SUM(O84:O90)</f>
        <v>99965.029999999984</v>
      </c>
      <c r="P91" s="677"/>
      <c r="Q91" s="765">
        <f>SUM(Q84:Q90)</f>
        <v>101232.60999999999</v>
      </c>
      <c r="R91" s="640"/>
      <c r="S91" s="721">
        <f>SUM(S84:S90)</f>
        <v>115939.14</v>
      </c>
      <c r="T91" s="640"/>
      <c r="U91" s="721">
        <f>SUM(U84:U90)</f>
        <v>108191.93</v>
      </c>
      <c r="V91" s="640"/>
      <c r="W91" s="721">
        <f>SUM(W84:W90)</f>
        <v>88162.87999999999</v>
      </c>
      <c r="X91" s="640"/>
      <c r="Y91" s="721">
        <f>SUM(Y84:Y90)</f>
        <v>96665.900000000009</v>
      </c>
      <c r="Z91" s="640"/>
      <c r="AA91" s="721">
        <f>SUM(AA84:AA90)</f>
        <v>112907.99</v>
      </c>
      <c r="AB91" s="640"/>
      <c r="AC91" s="721">
        <f>SUM(AC84:AC90)</f>
        <v>0</v>
      </c>
      <c r="AD91" s="758"/>
      <c r="AE91" s="203"/>
      <c r="AF91" s="203"/>
      <c r="AG91" s="203"/>
      <c r="AH91" s="203"/>
      <c r="AI91" s="203"/>
      <c r="AJ91" s="641">
        <f>SUM(AJ84:AJ90)</f>
        <v>0</v>
      </c>
      <c r="AK91" s="642">
        <f>SUM(AK84:AK90)</f>
        <v>0</v>
      </c>
      <c r="AL91" s="642">
        <f>SUM(AL84:AL90)</f>
        <v>0</v>
      </c>
      <c r="AM91" s="643">
        <f>SUM(AM84:AM90)</f>
        <v>0</v>
      </c>
    </row>
    <row r="92" spans="1:40" hidden="1">
      <c r="A92" s="5">
        <v>3</v>
      </c>
      <c r="B92" s="16">
        <v>4</v>
      </c>
      <c r="C92" s="16" t="s">
        <v>103</v>
      </c>
      <c r="D92" s="694">
        <v>39524</v>
      </c>
      <c r="E92" s="695">
        <v>5864.71</v>
      </c>
      <c r="F92" s="694">
        <v>39888</v>
      </c>
      <c r="G92" s="695">
        <v>5844.89</v>
      </c>
      <c r="H92" s="694">
        <v>40252</v>
      </c>
      <c r="I92" s="695">
        <v>7059.46</v>
      </c>
      <c r="J92" s="701">
        <v>40616</v>
      </c>
      <c r="K92" s="695">
        <v>6967.7</v>
      </c>
      <c r="L92" s="683">
        <v>40987</v>
      </c>
      <c r="M92" s="707">
        <v>6969.7</v>
      </c>
      <c r="N92" s="683">
        <v>41351</v>
      </c>
      <c r="O92" s="690">
        <v>10667.8</v>
      </c>
      <c r="P92" s="689">
        <v>41715</v>
      </c>
      <c r="Q92" s="686">
        <v>10506.7</v>
      </c>
      <c r="R92" s="759">
        <f>R90+1</f>
        <v>42079</v>
      </c>
      <c r="S92" s="776">
        <v>7744.45</v>
      </c>
      <c r="T92" s="759">
        <f>T90+1</f>
        <v>42450</v>
      </c>
      <c r="U92" s="772">
        <v>7282.6</v>
      </c>
      <c r="V92" s="634">
        <f>V90+1</f>
        <v>42814</v>
      </c>
      <c r="W92" s="772">
        <v>9022.4</v>
      </c>
      <c r="X92" s="759">
        <f>X90+1</f>
        <v>43178</v>
      </c>
      <c r="Y92" s="776">
        <v>10239.4</v>
      </c>
      <c r="Z92" s="759">
        <f>Z90+1</f>
        <v>43542</v>
      </c>
      <c r="AA92" s="772">
        <v>11527.75</v>
      </c>
      <c r="AB92" s="759">
        <f>AB90+1</f>
        <v>43906</v>
      </c>
      <c r="AC92" s="772"/>
      <c r="AD92" s="863" t="s">
        <v>121</v>
      </c>
      <c r="AJ92" s="751"/>
      <c r="AK92" s="752"/>
      <c r="AL92" s="752"/>
      <c r="AM92" s="762">
        <f t="shared" ref="AM92:AM98" si="178">SUM(AJ92:AL92)</f>
        <v>0</v>
      </c>
      <c r="AN92" s="763">
        <f>AN90+1</f>
        <v>44270</v>
      </c>
    </row>
    <row r="93" spans="1:40" hidden="1">
      <c r="A93" s="7">
        <v>3</v>
      </c>
      <c r="B93">
        <v>4</v>
      </c>
      <c r="C93" t="s">
        <v>104</v>
      </c>
      <c r="D93" s="697">
        <v>39525</v>
      </c>
      <c r="E93" s="695">
        <v>10993.49</v>
      </c>
      <c r="F93" s="697">
        <v>39889</v>
      </c>
      <c r="G93" s="695">
        <v>8180.15</v>
      </c>
      <c r="H93" s="697">
        <v>40253</v>
      </c>
      <c r="I93" s="695">
        <v>8806.2900000000009</v>
      </c>
      <c r="J93" s="683">
        <v>40617</v>
      </c>
      <c r="K93" s="695">
        <v>9025.7900000000009</v>
      </c>
      <c r="L93" s="683">
        <v>40988</v>
      </c>
      <c r="M93" s="707">
        <v>12442.65</v>
      </c>
      <c r="N93" s="683">
        <v>41352</v>
      </c>
      <c r="O93" s="690">
        <v>9278.19</v>
      </c>
      <c r="P93" s="689">
        <v>41716</v>
      </c>
      <c r="Q93" s="686">
        <v>10011.799999999999</v>
      </c>
      <c r="R93" s="760">
        <f>R92+1</f>
        <v>42080</v>
      </c>
      <c r="S93" s="777">
        <v>11266.06</v>
      </c>
      <c r="T93" s="760">
        <f>T92+1</f>
        <v>42451</v>
      </c>
      <c r="U93" s="818">
        <v>13980.13</v>
      </c>
      <c r="V93" s="829">
        <f>V92+1</f>
        <v>42815</v>
      </c>
      <c r="W93" s="818">
        <v>11425.51</v>
      </c>
      <c r="X93" s="760">
        <f>X92+1</f>
        <v>43179</v>
      </c>
      <c r="Y93" s="827">
        <v>12122.73</v>
      </c>
      <c r="Z93" s="760">
        <f>Z92+1</f>
        <v>43543</v>
      </c>
      <c r="AA93" s="818">
        <v>12435.91</v>
      </c>
      <c r="AB93" s="760">
        <f>AB92+1</f>
        <v>43907</v>
      </c>
      <c r="AC93" s="818"/>
      <c r="AD93" s="864"/>
      <c r="AJ93" s="751"/>
      <c r="AK93" s="752"/>
      <c r="AL93" s="753"/>
      <c r="AM93" s="762">
        <f t="shared" si="178"/>
        <v>0</v>
      </c>
      <c r="AN93" s="763">
        <f>AN92+1</f>
        <v>44271</v>
      </c>
    </row>
    <row r="94" spans="1:40" hidden="1">
      <c r="A94" s="7">
        <v>3</v>
      </c>
      <c r="B94">
        <v>4</v>
      </c>
      <c r="C94" t="s">
        <v>105</v>
      </c>
      <c r="D94" s="697">
        <v>39526</v>
      </c>
      <c r="E94" s="695">
        <v>14812.74</v>
      </c>
      <c r="F94" s="697">
        <v>39890</v>
      </c>
      <c r="G94" s="695">
        <v>14519.19</v>
      </c>
      <c r="H94" s="697">
        <v>40254</v>
      </c>
      <c r="I94" s="695">
        <v>10923.55</v>
      </c>
      <c r="J94" s="683">
        <v>40618</v>
      </c>
      <c r="K94" s="695">
        <v>13933.33</v>
      </c>
      <c r="L94" s="683">
        <v>40989</v>
      </c>
      <c r="M94" s="707">
        <v>10616.6</v>
      </c>
      <c r="N94" s="683">
        <v>41353</v>
      </c>
      <c r="O94" s="690">
        <v>10210.11</v>
      </c>
      <c r="P94" s="689">
        <v>41717</v>
      </c>
      <c r="Q94" s="686">
        <v>12557.9</v>
      </c>
      <c r="R94" s="760">
        <f t="shared" ref="R94:T98" si="179">R93+1</f>
        <v>42081</v>
      </c>
      <c r="S94" s="777">
        <v>12412.7</v>
      </c>
      <c r="T94" s="760">
        <f t="shared" si="179"/>
        <v>42452</v>
      </c>
      <c r="U94" s="774">
        <v>12832.05</v>
      </c>
      <c r="V94" s="829">
        <f t="shared" ref="V94:Z94" si="180">V93+1</f>
        <v>42816</v>
      </c>
      <c r="W94" s="774">
        <v>15713.35</v>
      </c>
      <c r="X94" s="760">
        <f t="shared" ref="X94" si="181">X93+1</f>
        <v>43180</v>
      </c>
      <c r="Y94" s="777">
        <v>5735.15</v>
      </c>
      <c r="Z94" s="760">
        <f t="shared" si="180"/>
        <v>43544</v>
      </c>
      <c r="AA94" s="774">
        <v>14465.18</v>
      </c>
      <c r="AB94" s="760">
        <f t="shared" ref="AB94" si="182">AB93+1</f>
        <v>43908</v>
      </c>
      <c r="AC94" s="774"/>
      <c r="AD94" s="864"/>
      <c r="AJ94" s="751"/>
      <c r="AK94" s="752"/>
      <c r="AL94" s="753"/>
      <c r="AM94" s="762">
        <f t="shared" si="178"/>
        <v>0</v>
      </c>
      <c r="AN94" s="763">
        <f t="shared" ref="AN94:AN98" si="183">AN93+1</f>
        <v>44272</v>
      </c>
    </row>
    <row r="95" spans="1:40" hidden="1">
      <c r="A95" s="7">
        <v>3</v>
      </c>
      <c r="B95">
        <v>4</v>
      </c>
      <c r="C95" t="s">
        <v>106</v>
      </c>
      <c r="D95" s="697">
        <v>39527</v>
      </c>
      <c r="E95" s="695">
        <v>19614.21</v>
      </c>
      <c r="F95" s="697">
        <v>39891</v>
      </c>
      <c r="G95" s="695">
        <v>12760.32</v>
      </c>
      <c r="H95" s="697">
        <v>40255</v>
      </c>
      <c r="I95" s="695">
        <v>12940.11</v>
      </c>
      <c r="J95" s="683">
        <v>40619</v>
      </c>
      <c r="K95" s="695">
        <v>10957.15</v>
      </c>
      <c r="L95" s="683">
        <v>40990</v>
      </c>
      <c r="M95" s="707">
        <v>11887.4</v>
      </c>
      <c r="N95" s="683">
        <v>41354</v>
      </c>
      <c r="O95" s="690">
        <v>12695.15</v>
      </c>
      <c r="P95" s="689">
        <v>41718</v>
      </c>
      <c r="Q95" s="686">
        <v>13017.23</v>
      </c>
      <c r="R95" s="760">
        <f t="shared" si="179"/>
        <v>42082</v>
      </c>
      <c r="S95" s="777">
        <v>12184.4</v>
      </c>
      <c r="T95" s="760">
        <f t="shared" si="179"/>
        <v>42453</v>
      </c>
      <c r="U95" s="774">
        <v>13208.1</v>
      </c>
      <c r="V95" s="829">
        <f t="shared" ref="V95:Z95" si="184">V94+1</f>
        <v>42817</v>
      </c>
      <c r="W95" s="774">
        <v>16798.45</v>
      </c>
      <c r="X95" s="760">
        <f t="shared" ref="X95" si="185">X94+1</f>
        <v>43181</v>
      </c>
      <c r="Y95" s="777">
        <v>13712.29</v>
      </c>
      <c r="Z95" s="760">
        <f t="shared" si="184"/>
        <v>43545</v>
      </c>
      <c r="AA95" s="774">
        <v>14633.07</v>
      </c>
      <c r="AB95" s="760">
        <f t="shared" ref="AB95" si="186">AB94+1</f>
        <v>43909</v>
      </c>
      <c r="AC95" s="774"/>
      <c r="AD95" s="864"/>
      <c r="AJ95" s="751"/>
      <c r="AK95" s="752"/>
      <c r="AL95" s="753"/>
      <c r="AM95" s="762">
        <f t="shared" si="178"/>
        <v>0</v>
      </c>
      <c r="AN95" s="763">
        <f t="shared" si="183"/>
        <v>44273</v>
      </c>
    </row>
    <row r="96" spans="1:40" hidden="1">
      <c r="A96" s="7">
        <v>3</v>
      </c>
      <c r="B96">
        <v>4</v>
      </c>
      <c r="C96" t="s">
        <v>107</v>
      </c>
      <c r="D96" s="697">
        <v>39528</v>
      </c>
      <c r="E96" s="695">
        <v>25719.360000000001</v>
      </c>
      <c r="F96" s="697">
        <v>39892</v>
      </c>
      <c r="G96" s="695">
        <v>19949.259999999998</v>
      </c>
      <c r="H96" s="697">
        <v>40256</v>
      </c>
      <c r="I96" s="695">
        <v>20623.490000000002</v>
      </c>
      <c r="J96" s="683">
        <v>40620</v>
      </c>
      <c r="K96" s="695">
        <v>21633.24</v>
      </c>
      <c r="L96" s="683">
        <v>40991</v>
      </c>
      <c r="M96" s="707">
        <v>21534.1</v>
      </c>
      <c r="N96" s="683">
        <v>41355</v>
      </c>
      <c r="O96" s="690">
        <v>22266.31</v>
      </c>
      <c r="P96" s="689">
        <v>41719</v>
      </c>
      <c r="Q96" s="686">
        <v>23465.55</v>
      </c>
      <c r="R96" s="760">
        <f t="shared" si="179"/>
        <v>42083</v>
      </c>
      <c r="S96" s="777">
        <v>16067.72</v>
      </c>
      <c r="T96" s="760">
        <f t="shared" si="179"/>
        <v>42454</v>
      </c>
      <c r="U96" s="774">
        <v>27000.87</v>
      </c>
      <c r="V96" s="829">
        <f t="shared" ref="V96:Z96" si="187">V95+1</f>
        <v>42818</v>
      </c>
      <c r="W96" s="774">
        <v>24634.66</v>
      </c>
      <c r="X96" s="760">
        <f t="shared" ref="X96" si="188">X95+1</f>
        <v>43182</v>
      </c>
      <c r="Y96" s="777">
        <v>29126.14</v>
      </c>
      <c r="Z96" s="760">
        <f t="shared" si="187"/>
        <v>43546</v>
      </c>
      <c r="AA96" s="774">
        <v>23413.53</v>
      </c>
      <c r="AB96" s="760">
        <f t="shared" ref="AB96" si="189">AB95+1</f>
        <v>43910</v>
      </c>
      <c r="AC96" s="774"/>
      <c r="AD96" s="864"/>
      <c r="AJ96" s="751"/>
      <c r="AK96" s="752"/>
      <c r="AL96" s="753"/>
      <c r="AM96" s="762">
        <f t="shared" si="178"/>
        <v>0</v>
      </c>
      <c r="AN96" s="763">
        <f t="shared" si="183"/>
        <v>44274</v>
      </c>
    </row>
    <row r="97" spans="1:40" hidden="1">
      <c r="A97" s="7">
        <v>3</v>
      </c>
      <c r="B97">
        <v>4</v>
      </c>
      <c r="C97" t="s">
        <v>108</v>
      </c>
      <c r="D97" s="697">
        <v>39529</v>
      </c>
      <c r="E97" s="695">
        <v>19977.41</v>
      </c>
      <c r="F97" s="697">
        <v>39893</v>
      </c>
      <c r="G97" s="695">
        <v>22726.54</v>
      </c>
      <c r="H97" s="697">
        <v>40257</v>
      </c>
      <c r="I97" s="695">
        <v>20752</v>
      </c>
      <c r="J97" s="683">
        <v>40621</v>
      </c>
      <c r="K97" s="695">
        <v>19163.8</v>
      </c>
      <c r="L97" s="683">
        <v>40992</v>
      </c>
      <c r="M97" s="707">
        <v>22758.81</v>
      </c>
      <c r="N97" s="683">
        <v>41356</v>
      </c>
      <c r="O97" s="690">
        <v>22046.87</v>
      </c>
      <c r="P97" s="689">
        <v>41720</v>
      </c>
      <c r="Q97" s="686">
        <v>25939.55</v>
      </c>
      <c r="R97" s="760">
        <f t="shared" si="179"/>
        <v>42084</v>
      </c>
      <c r="S97" s="777">
        <v>23778.6</v>
      </c>
      <c r="T97" s="760">
        <f t="shared" si="179"/>
        <v>42455</v>
      </c>
      <c r="U97" s="774">
        <v>21565.3</v>
      </c>
      <c r="V97" s="829">
        <f t="shared" ref="V97:Z97" si="190">V96+1</f>
        <v>42819</v>
      </c>
      <c r="W97" s="774">
        <v>26359.25</v>
      </c>
      <c r="X97" s="760">
        <f t="shared" ref="X97" si="191">X96+1</f>
        <v>43183</v>
      </c>
      <c r="Y97" s="777">
        <v>23588.48</v>
      </c>
      <c r="Z97" s="760">
        <f t="shared" si="190"/>
        <v>43547</v>
      </c>
      <c r="AA97" s="774">
        <v>28393.14</v>
      </c>
      <c r="AB97" s="760">
        <f t="shared" ref="AB97" si="192">AB96+1</f>
        <v>43911</v>
      </c>
      <c r="AC97" s="774"/>
      <c r="AD97" s="864"/>
      <c r="AJ97" s="751"/>
      <c r="AK97" s="752"/>
      <c r="AL97" s="753"/>
      <c r="AM97" s="762">
        <f t="shared" si="178"/>
        <v>0</v>
      </c>
      <c r="AN97" s="763">
        <f t="shared" si="183"/>
        <v>44275</v>
      </c>
    </row>
    <row r="98" spans="1:40" ht="15.75" hidden="1" thickBot="1">
      <c r="A98" s="12">
        <v>3</v>
      </c>
      <c r="B98" s="14">
        <v>4</v>
      </c>
      <c r="C98" s="14" t="s">
        <v>109</v>
      </c>
      <c r="D98" s="699">
        <v>39530</v>
      </c>
      <c r="E98" s="695">
        <v>5130.76</v>
      </c>
      <c r="F98" s="699">
        <v>39894</v>
      </c>
      <c r="G98" s="695">
        <v>5063.13</v>
      </c>
      <c r="H98" s="699">
        <v>40258</v>
      </c>
      <c r="I98" s="695">
        <v>6419.08</v>
      </c>
      <c r="J98" s="700">
        <v>40622</v>
      </c>
      <c r="K98" s="695">
        <v>6209.97</v>
      </c>
      <c r="L98" s="683">
        <v>40993</v>
      </c>
      <c r="M98" s="707">
        <v>13331.7</v>
      </c>
      <c r="N98" s="683">
        <v>41357</v>
      </c>
      <c r="O98" s="690">
        <v>8382.82</v>
      </c>
      <c r="P98" s="689">
        <v>41721</v>
      </c>
      <c r="Q98" s="686">
        <v>12929.6</v>
      </c>
      <c r="R98" s="760">
        <f t="shared" si="179"/>
        <v>42085</v>
      </c>
      <c r="S98" s="778">
        <v>12170.7</v>
      </c>
      <c r="T98" s="760">
        <f t="shared" si="179"/>
        <v>42456</v>
      </c>
      <c r="U98" s="775">
        <v>17157.91</v>
      </c>
      <c r="V98" s="829">
        <f t="shared" ref="V98:Z98" si="193">V97+1</f>
        <v>42820</v>
      </c>
      <c r="W98" s="775">
        <v>16328.8</v>
      </c>
      <c r="X98" s="760">
        <f t="shared" ref="X98" si="194">X97+1</f>
        <v>43184</v>
      </c>
      <c r="Y98" s="817">
        <v>15365.32</v>
      </c>
      <c r="Z98" s="760">
        <f t="shared" si="193"/>
        <v>43548</v>
      </c>
      <c r="AA98" s="775">
        <v>19517.310000000001</v>
      </c>
      <c r="AB98" s="760">
        <f t="shared" ref="AB98" si="195">AB97+1</f>
        <v>43912</v>
      </c>
      <c r="AC98" s="775"/>
      <c r="AD98" s="865"/>
      <c r="AE98" s="203">
        <f>SUM(E92:E98)</f>
        <v>102112.68000000001</v>
      </c>
      <c r="AF98" s="203">
        <f>SUM(G92:G98)</f>
        <v>89043.48000000001</v>
      </c>
      <c r="AG98" s="203">
        <f>SUM(I92:I98)</f>
        <v>87523.98000000001</v>
      </c>
      <c r="AH98" s="203">
        <f>SUM(K92:K98)</f>
        <v>87890.98000000001</v>
      </c>
      <c r="AI98" s="203">
        <f>SUM(M92:M98)</f>
        <v>99540.959999999992</v>
      </c>
      <c r="AJ98" s="751"/>
      <c r="AK98" s="752"/>
      <c r="AL98" s="754"/>
      <c r="AM98" s="762">
        <f t="shared" si="178"/>
        <v>0</v>
      </c>
      <c r="AN98" s="763">
        <f t="shared" si="183"/>
        <v>44276</v>
      </c>
    </row>
    <row r="99" spans="1:40" ht="15.75" hidden="1" thickBot="1">
      <c r="A99" s="7"/>
      <c r="C99" s="674" t="s">
        <v>282</v>
      </c>
      <c r="D99" s="676"/>
      <c r="E99" s="675"/>
      <c r="F99" s="676"/>
      <c r="G99" s="675"/>
      <c r="H99" s="676"/>
      <c r="I99" s="675"/>
      <c r="J99" s="677"/>
      <c r="K99" s="678"/>
      <c r="L99" s="677"/>
      <c r="M99" s="678"/>
      <c r="N99" s="677"/>
      <c r="O99" s="765">
        <f>SUM(O92:O98)</f>
        <v>95547.25</v>
      </c>
      <c r="P99" s="677"/>
      <c r="Q99" s="765">
        <f>SUM(Q92:Q98)</f>
        <v>108428.33000000002</v>
      </c>
      <c r="R99" s="640"/>
      <c r="S99" s="721">
        <f>SUM(S92:S98)</f>
        <v>95624.62999999999</v>
      </c>
      <c r="T99" s="640"/>
      <c r="U99" s="721">
        <f>SUM(U92:U98)</f>
        <v>113026.96</v>
      </c>
      <c r="V99" s="640"/>
      <c r="W99" s="721">
        <f>SUM(W92:W98)</f>
        <v>120282.42000000001</v>
      </c>
      <c r="X99" s="640"/>
      <c r="Y99" s="721">
        <f>SUM(Y92:Y98)</f>
        <v>109889.50999999998</v>
      </c>
      <c r="Z99" s="640"/>
      <c r="AA99" s="721">
        <f>SUM(AA92:AA98)</f>
        <v>124385.89</v>
      </c>
      <c r="AB99" s="640"/>
      <c r="AC99" s="721">
        <f>SUM(AC92:AC98)</f>
        <v>0</v>
      </c>
      <c r="AD99" s="758"/>
      <c r="AE99" s="203"/>
      <c r="AF99" s="203"/>
      <c r="AG99" s="203"/>
      <c r="AH99" s="203"/>
      <c r="AI99" s="203"/>
      <c r="AJ99" s="641">
        <f>SUM(AJ92:AJ98)</f>
        <v>0</v>
      </c>
      <c r="AK99" s="642">
        <f>SUM(AK92:AK98)</f>
        <v>0</v>
      </c>
      <c r="AL99" s="642">
        <f>SUM(AL92:AL98)</f>
        <v>0</v>
      </c>
      <c r="AM99" s="643">
        <f>SUM(AM92:AM98)</f>
        <v>0</v>
      </c>
    </row>
    <row r="100" spans="1:40" hidden="1">
      <c r="A100" s="5">
        <v>3</v>
      </c>
      <c r="B100" s="16">
        <v>5</v>
      </c>
      <c r="C100" s="16" t="s">
        <v>103</v>
      </c>
      <c r="D100" s="694">
        <v>39531</v>
      </c>
      <c r="E100" s="695">
        <v>9685.84</v>
      </c>
      <c r="F100" s="694">
        <v>39895</v>
      </c>
      <c r="G100" s="695">
        <v>8165.91</v>
      </c>
      <c r="H100" s="694">
        <v>40259</v>
      </c>
      <c r="I100" s="695">
        <v>7665.31</v>
      </c>
      <c r="J100" s="701">
        <v>40623</v>
      </c>
      <c r="K100" s="695">
        <v>7935.59</v>
      </c>
      <c r="L100" s="683">
        <v>40994</v>
      </c>
      <c r="M100" s="707">
        <v>7441.4</v>
      </c>
      <c r="N100" s="683">
        <v>41358</v>
      </c>
      <c r="O100" s="690">
        <v>8409</v>
      </c>
      <c r="P100" s="689">
        <v>41722</v>
      </c>
      <c r="Q100" s="686">
        <v>7811.15</v>
      </c>
      <c r="R100" s="759">
        <f>R98+1</f>
        <v>42086</v>
      </c>
      <c r="S100" s="776">
        <v>8672.85</v>
      </c>
      <c r="T100" s="759">
        <f>T98+1</f>
        <v>42457</v>
      </c>
      <c r="U100" s="772">
        <v>6973.45</v>
      </c>
      <c r="V100" s="634">
        <f>V98+1</f>
        <v>42821</v>
      </c>
      <c r="W100" s="772">
        <v>9401.15</v>
      </c>
      <c r="X100" s="759">
        <f>X98+1</f>
        <v>43185</v>
      </c>
      <c r="Y100" s="776">
        <v>9022.67</v>
      </c>
      <c r="Z100" s="759">
        <f>Z98+1</f>
        <v>43549</v>
      </c>
      <c r="AA100" s="772">
        <v>11654.19</v>
      </c>
      <c r="AB100" s="759">
        <f>AB98+1</f>
        <v>43913</v>
      </c>
      <c r="AC100" s="772"/>
      <c r="AD100" s="863" t="s">
        <v>122</v>
      </c>
      <c r="AJ100" s="751"/>
      <c r="AK100" s="752"/>
      <c r="AL100" s="752"/>
      <c r="AM100" s="762">
        <f t="shared" ref="AM100:AM106" si="196">SUM(AJ100:AL100)</f>
        <v>0</v>
      </c>
      <c r="AN100" s="763">
        <f>AN98+1</f>
        <v>44277</v>
      </c>
    </row>
    <row r="101" spans="1:40" hidden="1">
      <c r="A101" s="7">
        <v>3</v>
      </c>
      <c r="B101">
        <v>5</v>
      </c>
      <c r="C101" t="s">
        <v>104</v>
      </c>
      <c r="D101" s="697">
        <v>39532</v>
      </c>
      <c r="E101" s="695">
        <v>12444.57</v>
      </c>
      <c r="F101" s="697">
        <v>39896</v>
      </c>
      <c r="G101" s="695">
        <v>11803.29</v>
      </c>
      <c r="H101" s="697">
        <v>40260</v>
      </c>
      <c r="I101" s="695">
        <v>10494.93</v>
      </c>
      <c r="J101" s="683">
        <v>40624</v>
      </c>
      <c r="K101" s="695">
        <v>9830.17</v>
      </c>
      <c r="L101" s="683">
        <v>40995</v>
      </c>
      <c r="M101" s="707">
        <v>14201.65</v>
      </c>
      <c r="N101" s="683">
        <v>41359</v>
      </c>
      <c r="O101" s="690">
        <v>12457.75</v>
      </c>
      <c r="P101" s="689">
        <v>41723</v>
      </c>
      <c r="Q101" s="686">
        <v>15126.21</v>
      </c>
      <c r="R101" s="760">
        <f>R100+1</f>
        <v>42087</v>
      </c>
      <c r="S101" s="777">
        <v>13473.94</v>
      </c>
      <c r="T101" s="760">
        <f>T100+1</f>
        <v>42458</v>
      </c>
      <c r="U101" s="818">
        <v>11937.65</v>
      </c>
      <c r="V101" s="829">
        <f>V100+1</f>
        <v>42822</v>
      </c>
      <c r="W101" s="818">
        <v>10745.7</v>
      </c>
      <c r="X101" s="760">
        <f>X100+1</f>
        <v>43186</v>
      </c>
      <c r="Y101" s="827">
        <v>15479.56</v>
      </c>
      <c r="Z101" s="760">
        <f>Z100+1</f>
        <v>43550</v>
      </c>
      <c r="AA101" s="818">
        <v>11588.97</v>
      </c>
      <c r="AB101" s="760">
        <f>AB100+1</f>
        <v>43914</v>
      </c>
      <c r="AC101" s="818"/>
      <c r="AD101" s="864"/>
      <c r="AJ101" s="751"/>
      <c r="AK101" s="752"/>
      <c r="AL101" s="753"/>
      <c r="AM101" s="762">
        <f t="shared" si="196"/>
        <v>0</v>
      </c>
      <c r="AN101" s="763">
        <f>AN100+1</f>
        <v>44278</v>
      </c>
    </row>
    <row r="102" spans="1:40" hidden="1">
      <c r="A102" s="7">
        <v>3</v>
      </c>
      <c r="B102">
        <v>5</v>
      </c>
      <c r="C102" t="s">
        <v>105</v>
      </c>
      <c r="D102" s="697">
        <v>39533</v>
      </c>
      <c r="E102" s="695">
        <v>16408.689999999999</v>
      </c>
      <c r="F102" s="697">
        <v>39897</v>
      </c>
      <c r="G102" s="695">
        <v>10695.29</v>
      </c>
      <c r="H102" s="697">
        <v>40261</v>
      </c>
      <c r="I102" s="695">
        <v>15378.38</v>
      </c>
      <c r="J102" s="683">
        <v>40625</v>
      </c>
      <c r="K102" s="695">
        <v>10297.799999999999</v>
      </c>
      <c r="L102" s="683">
        <v>40996</v>
      </c>
      <c r="M102" s="707">
        <v>11817.6</v>
      </c>
      <c r="N102" s="683">
        <v>41360</v>
      </c>
      <c r="O102" s="690">
        <v>9768.2000000000007</v>
      </c>
      <c r="P102" s="689">
        <v>41724</v>
      </c>
      <c r="Q102" s="686">
        <v>10284</v>
      </c>
      <c r="R102" s="760">
        <f t="shared" ref="R102:T106" si="197">R101+1</f>
        <v>42088</v>
      </c>
      <c r="S102" s="777">
        <v>13583.81</v>
      </c>
      <c r="T102" s="760">
        <f t="shared" si="197"/>
        <v>42459</v>
      </c>
      <c r="U102" s="774">
        <v>15316.86</v>
      </c>
      <c r="V102" s="829">
        <f t="shared" ref="V102:Z102" si="198">V101+1</f>
        <v>42823</v>
      </c>
      <c r="W102" s="774">
        <v>16144.2</v>
      </c>
      <c r="X102" s="760">
        <f t="shared" ref="X102" si="199">X101+1</f>
        <v>43187</v>
      </c>
      <c r="Y102" s="777">
        <v>15351.72</v>
      </c>
      <c r="Z102" s="760">
        <f t="shared" si="198"/>
        <v>43551</v>
      </c>
      <c r="AA102" s="774">
        <v>15043.35</v>
      </c>
      <c r="AB102" s="760">
        <f t="shared" ref="AB102" si="200">AB101+1</f>
        <v>43915</v>
      </c>
      <c r="AC102" s="774"/>
      <c r="AD102" s="864"/>
      <c r="AJ102" s="751"/>
      <c r="AK102" s="752"/>
      <c r="AL102" s="753"/>
      <c r="AM102" s="762">
        <f t="shared" si="196"/>
        <v>0</v>
      </c>
      <c r="AN102" s="763">
        <f>AN101+1</f>
        <v>44279</v>
      </c>
    </row>
    <row r="103" spans="1:40" hidden="1">
      <c r="A103" s="7">
        <v>3</v>
      </c>
      <c r="B103">
        <v>5</v>
      </c>
      <c r="C103" t="s">
        <v>106</v>
      </c>
      <c r="D103" s="697">
        <v>39534</v>
      </c>
      <c r="E103" s="695">
        <v>16931.240000000002</v>
      </c>
      <c r="F103" s="697">
        <v>39898</v>
      </c>
      <c r="G103" s="695">
        <v>8901.34</v>
      </c>
      <c r="H103" s="697">
        <v>40262</v>
      </c>
      <c r="I103" s="695">
        <v>10750.45</v>
      </c>
      <c r="J103" s="683">
        <v>40626</v>
      </c>
      <c r="K103" s="695">
        <v>11405.19</v>
      </c>
      <c r="L103" s="683">
        <v>40997</v>
      </c>
      <c r="M103" s="707">
        <v>13680.55</v>
      </c>
      <c r="N103" s="683">
        <v>41361</v>
      </c>
      <c r="O103" s="690">
        <v>13179.5</v>
      </c>
      <c r="P103" s="689">
        <v>41725</v>
      </c>
      <c r="Q103" s="686">
        <v>13565.12</v>
      </c>
      <c r="R103" s="760">
        <f t="shared" si="197"/>
        <v>42089</v>
      </c>
      <c r="S103" s="777">
        <v>15487.2</v>
      </c>
      <c r="T103" s="760">
        <f t="shared" si="197"/>
        <v>42460</v>
      </c>
      <c r="U103" s="774">
        <v>16920.060000000001</v>
      </c>
      <c r="V103" s="829">
        <f t="shared" ref="V103:Z103" si="201">V102+1</f>
        <v>42824</v>
      </c>
      <c r="W103" s="774">
        <v>16654.25</v>
      </c>
      <c r="X103" s="760">
        <f t="shared" ref="X103" si="202">X102+1</f>
        <v>43188</v>
      </c>
      <c r="Y103" s="777">
        <v>16410.57</v>
      </c>
      <c r="Z103" s="760">
        <f t="shared" si="201"/>
        <v>43552</v>
      </c>
      <c r="AA103" s="774">
        <v>15200.65</v>
      </c>
      <c r="AB103" s="760">
        <f t="shared" ref="AB103" si="203">AB102+1</f>
        <v>43916</v>
      </c>
      <c r="AC103" s="774"/>
      <c r="AD103" s="864"/>
      <c r="AJ103" s="751"/>
      <c r="AK103" s="752"/>
      <c r="AL103" s="753"/>
      <c r="AM103" s="762">
        <f t="shared" si="196"/>
        <v>0</v>
      </c>
      <c r="AN103" s="763">
        <f t="shared" ref="AN103:AN106" si="204">AN102+1</f>
        <v>44280</v>
      </c>
    </row>
    <row r="104" spans="1:40" hidden="1">
      <c r="A104" s="7">
        <v>3</v>
      </c>
      <c r="B104">
        <v>5</v>
      </c>
      <c r="C104" t="s">
        <v>107</v>
      </c>
      <c r="D104" s="697">
        <v>39535</v>
      </c>
      <c r="E104" s="695">
        <v>23083.02</v>
      </c>
      <c r="F104" s="697">
        <v>39899</v>
      </c>
      <c r="G104" s="695">
        <v>22924.19</v>
      </c>
      <c r="H104" s="697">
        <v>40263</v>
      </c>
      <c r="I104" s="695">
        <v>22655.35</v>
      </c>
      <c r="J104" s="683">
        <v>40627</v>
      </c>
      <c r="K104" s="695">
        <v>20877.05</v>
      </c>
      <c r="L104" s="683">
        <v>40998</v>
      </c>
      <c r="M104" s="707">
        <v>23979.75</v>
      </c>
      <c r="N104" s="683">
        <v>41362</v>
      </c>
      <c r="O104" s="690">
        <v>26109.47</v>
      </c>
      <c r="P104" s="689">
        <v>41726</v>
      </c>
      <c r="Q104" s="686">
        <v>19989.57</v>
      </c>
      <c r="R104" s="760">
        <f t="shared" si="197"/>
        <v>42090</v>
      </c>
      <c r="S104" s="777">
        <v>25065.15</v>
      </c>
      <c r="T104" s="760">
        <f t="shared" si="197"/>
        <v>42461</v>
      </c>
      <c r="U104" s="774">
        <v>21366.51</v>
      </c>
      <c r="V104" s="829">
        <f t="shared" ref="V104:Z104" si="205">V103+1</f>
        <v>42825</v>
      </c>
      <c r="W104" s="774">
        <v>22245.16</v>
      </c>
      <c r="X104" s="760">
        <f t="shared" ref="X104" si="206">X103+1</f>
        <v>43189</v>
      </c>
      <c r="Y104" s="777">
        <v>27699.95</v>
      </c>
      <c r="Z104" s="760">
        <f t="shared" si="205"/>
        <v>43553</v>
      </c>
      <c r="AA104" s="774">
        <v>27396.68</v>
      </c>
      <c r="AB104" s="760">
        <f t="shared" ref="AB104" si="207">AB103+1</f>
        <v>43917</v>
      </c>
      <c r="AC104" s="774"/>
      <c r="AD104" s="864"/>
      <c r="AJ104" s="751"/>
      <c r="AK104" s="752"/>
      <c r="AL104" s="753"/>
      <c r="AM104" s="762">
        <f t="shared" si="196"/>
        <v>0</v>
      </c>
      <c r="AN104" s="763">
        <f t="shared" si="204"/>
        <v>44281</v>
      </c>
    </row>
    <row r="105" spans="1:40" hidden="1">
      <c r="A105" s="7">
        <v>3</v>
      </c>
      <c r="B105">
        <v>5</v>
      </c>
      <c r="C105" t="s">
        <v>108</v>
      </c>
      <c r="D105" s="697">
        <v>39536</v>
      </c>
      <c r="E105" s="695">
        <v>28070.28</v>
      </c>
      <c r="F105" s="697">
        <v>39900</v>
      </c>
      <c r="G105" s="695">
        <v>21096.44</v>
      </c>
      <c r="H105" s="697">
        <v>40264</v>
      </c>
      <c r="I105" s="695">
        <v>18203.37</v>
      </c>
      <c r="J105" s="683">
        <v>40628</v>
      </c>
      <c r="K105" s="695">
        <v>16987.59</v>
      </c>
      <c r="L105" s="683">
        <v>40999</v>
      </c>
      <c r="M105" s="707">
        <v>20793.25</v>
      </c>
      <c r="N105" s="683">
        <v>41363</v>
      </c>
      <c r="O105" s="690">
        <v>16085.85</v>
      </c>
      <c r="P105" s="689">
        <v>41727</v>
      </c>
      <c r="Q105" s="686">
        <v>28072.65</v>
      </c>
      <c r="R105" s="760">
        <f t="shared" si="197"/>
        <v>42091</v>
      </c>
      <c r="S105" s="777">
        <v>22859.57</v>
      </c>
      <c r="T105" s="760">
        <f t="shared" si="197"/>
        <v>42462</v>
      </c>
      <c r="U105" s="774">
        <v>20748.91</v>
      </c>
      <c r="V105" s="829">
        <f t="shared" ref="V105:Z105" si="208">V104+1</f>
        <v>42826</v>
      </c>
      <c r="W105" s="774">
        <v>23680.99</v>
      </c>
      <c r="X105" s="760">
        <f t="shared" ref="X105" si="209">X104+1</f>
        <v>43190</v>
      </c>
      <c r="Y105" s="777">
        <v>19376.740000000002</v>
      </c>
      <c r="Z105" s="760">
        <f t="shared" si="208"/>
        <v>43554</v>
      </c>
      <c r="AA105" s="774">
        <v>26426.31</v>
      </c>
      <c r="AB105" s="760">
        <f t="shared" ref="AB105" si="210">AB104+1</f>
        <v>43918</v>
      </c>
      <c r="AC105" s="774"/>
      <c r="AD105" s="864"/>
      <c r="AJ105" s="751"/>
      <c r="AK105" s="752"/>
      <c r="AL105" s="753"/>
      <c r="AM105" s="762">
        <f t="shared" si="196"/>
        <v>0</v>
      </c>
      <c r="AN105" s="763">
        <f t="shared" si="204"/>
        <v>44282</v>
      </c>
    </row>
    <row r="106" spans="1:40" ht="15.75" hidden="1" thickBot="1">
      <c r="A106" s="12">
        <v>3</v>
      </c>
      <c r="B106" s="14">
        <v>5</v>
      </c>
      <c r="C106" s="14" t="s">
        <v>109</v>
      </c>
      <c r="D106" s="699">
        <v>39537</v>
      </c>
      <c r="E106" s="695">
        <v>9304.5300000000007</v>
      </c>
      <c r="F106" s="699">
        <v>39901</v>
      </c>
      <c r="G106" s="695">
        <v>4492.4799999999996</v>
      </c>
      <c r="H106" s="699">
        <v>40265</v>
      </c>
      <c r="I106" s="695">
        <v>5535.24</v>
      </c>
      <c r="J106" s="700">
        <v>40629</v>
      </c>
      <c r="K106" s="695">
        <v>5621.22</v>
      </c>
      <c r="L106" s="683">
        <v>41000</v>
      </c>
      <c r="M106" s="707">
        <v>8023.4</v>
      </c>
      <c r="N106" s="683">
        <v>41364</v>
      </c>
      <c r="O106" s="690">
        <v>12712.49</v>
      </c>
      <c r="P106" s="689">
        <v>41728</v>
      </c>
      <c r="Q106" s="686">
        <v>11057.1</v>
      </c>
      <c r="R106" s="760">
        <f t="shared" si="197"/>
        <v>42092</v>
      </c>
      <c r="S106" s="778">
        <v>12809.4</v>
      </c>
      <c r="T106" s="760">
        <f t="shared" si="197"/>
        <v>42463</v>
      </c>
      <c r="U106" s="775">
        <v>14202.06</v>
      </c>
      <c r="V106" s="829">
        <f t="shared" ref="V106:Z106" si="211">V105+1</f>
        <v>42827</v>
      </c>
      <c r="W106" s="775">
        <v>14679.01</v>
      </c>
      <c r="X106" s="760">
        <f t="shared" ref="X106" si="212">X105+1</f>
        <v>43191</v>
      </c>
      <c r="Y106" s="817">
        <v>18251.18</v>
      </c>
      <c r="Z106" s="760">
        <f t="shared" si="211"/>
        <v>43555</v>
      </c>
      <c r="AA106" s="775">
        <v>13775.96</v>
      </c>
      <c r="AB106" s="760">
        <f t="shared" ref="AB106" si="213">AB105+1</f>
        <v>43919</v>
      </c>
      <c r="AC106" s="775"/>
      <c r="AD106" s="865"/>
      <c r="AE106" s="203">
        <f>SUM(E100:E106)</f>
        <v>115928.17</v>
      </c>
      <c r="AF106" s="203">
        <f>SUM(G100:G106)</f>
        <v>88078.94</v>
      </c>
      <c r="AG106" s="203">
        <f>SUM(I100:I106)</f>
        <v>90683.030000000013</v>
      </c>
      <c r="AH106" s="203">
        <f>SUM(K100:K106)</f>
        <v>82954.61</v>
      </c>
      <c r="AI106" s="203">
        <f>SUM(M100:M106)</f>
        <v>99937.599999999991</v>
      </c>
      <c r="AJ106" s="751"/>
      <c r="AK106" s="752"/>
      <c r="AL106" s="754"/>
      <c r="AM106" s="762">
        <f t="shared" si="196"/>
        <v>0</v>
      </c>
      <c r="AN106" s="763">
        <f t="shared" si="204"/>
        <v>44283</v>
      </c>
    </row>
    <row r="107" spans="1:40" ht="15.75" hidden="1" thickBot="1">
      <c r="A107" s="7"/>
      <c r="C107" s="674" t="s">
        <v>282</v>
      </c>
      <c r="D107" s="676"/>
      <c r="E107" s="675"/>
      <c r="F107" s="676"/>
      <c r="G107" s="675"/>
      <c r="H107" s="676"/>
      <c r="I107" s="675"/>
      <c r="J107" s="677"/>
      <c r="K107" s="678"/>
      <c r="L107" s="677"/>
      <c r="M107" s="678"/>
      <c r="N107" s="677"/>
      <c r="O107" s="765">
        <f>SUM(O100:O106)</f>
        <v>98722.260000000009</v>
      </c>
      <c r="P107" s="677"/>
      <c r="Q107" s="765">
        <f>SUM(Q100:Q106)</f>
        <v>105905.80000000002</v>
      </c>
      <c r="R107" s="640"/>
      <c r="S107" s="721">
        <f>SUM(S100:S106)</f>
        <v>111951.92000000001</v>
      </c>
      <c r="T107" s="640"/>
      <c r="U107" s="721">
        <f>SUM(U100:U106)</f>
        <v>107465.5</v>
      </c>
      <c r="V107" s="640"/>
      <c r="W107" s="721">
        <f>SUM(W100:W106)</f>
        <v>113550.46</v>
      </c>
      <c r="X107" s="640"/>
      <c r="Y107" s="721">
        <f>SUM(Y100:Y106)</f>
        <v>121592.39000000001</v>
      </c>
      <c r="Z107" s="640"/>
      <c r="AA107" s="721">
        <f>SUM(AA100:AA106)</f>
        <v>121086.10999999999</v>
      </c>
      <c r="AB107" s="640"/>
      <c r="AC107" s="721">
        <f>SUM(AC100:AC106)</f>
        <v>0</v>
      </c>
      <c r="AD107" s="819"/>
      <c r="AE107" s="203"/>
      <c r="AF107" s="203"/>
      <c r="AG107" s="203"/>
      <c r="AH107" s="203"/>
      <c r="AI107" s="203"/>
      <c r="AJ107" s="641">
        <f>SUM(AJ100:AJ106)</f>
        <v>0</v>
      </c>
      <c r="AK107" s="642">
        <f>SUM(AK100:AK106)</f>
        <v>0</v>
      </c>
      <c r="AL107" s="642">
        <f>SUM(AL100:AL106)</f>
        <v>0</v>
      </c>
      <c r="AM107" s="643">
        <f>SUM(AM100:AM106)</f>
        <v>0</v>
      </c>
    </row>
    <row r="108" spans="1:40" ht="15.75" hidden="1" thickBot="1">
      <c r="A108" s="5">
        <v>4</v>
      </c>
      <c r="B108" s="16">
        <v>1</v>
      </c>
      <c r="C108" s="16" t="s">
        <v>103</v>
      </c>
      <c r="D108" s="204">
        <v>39538</v>
      </c>
      <c r="E108" s="695">
        <v>9877.27</v>
      </c>
      <c r="F108" s="694">
        <v>39902</v>
      </c>
      <c r="G108" s="695">
        <v>7828.06</v>
      </c>
      <c r="H108" s="694">
        <v>40266</v>
      </c>
      <c r="I108" s="695">
        <v>5286.11</v>
      </c>
      <c r="J108" s="701">
        <v>40630</v>
      </c>
      <c r="K108" s="695">
        <v>7584.31</v>
      </c>
      <c r="L108" s="683">
        <v>41001</v>
      </c>
      <c r="M108" s="707">
        <v>8246.6</v>
      </c>
      <c r="N108" s="683">
        <v>41365</v>
      </c>
      <c r="O108" s="690">
        <v>7428.1</v>
      </c>
      <c r="P108" s="689">
        <v>41729</v>
      </c>
      <c r="Q108" s="686">
        <v>10854.93</v>
      </c>
      <c r="R108" s="759">
        <f>R106+1</f>
        <v>42093</v>
      </c>
      <c r="S108" s="772">
        <v>8534.4</v>
      </c>
      <c r="T108" s="759">
        <f>T106+1</f>
        <v>42464</v>
      </c>
      <c r="U108" s="772">
        <v>5178</v>
      </c>
      <c r="V108" s="634">
        <f>V106+1</f>
        <v>42828</v>
      </c>
      <c r="W108" s="767">
        <v>6910.9</v>
      </c>
      <c r="X108" s="759">
        <f>X106+1</f>
        <v>43192</v>
      </c>
      <c r="Y108" s="767">
        <v>7125.35</v>
      </c>
      <c r="Z108" s="759">
        <f>Z106+1</f>
        <v>43556</v>
      </c>
      <c r="AA108" s="767">
        <v>8155.4</v>
      </c>
      <c r="AB108" s="759">
        <f>AB106+1</f>
        <v>43920</v>
      </c>
      <c r="AC108" s="772"/>
      <c r="AD108" s="863" t="s">
        <v>123</v>
      </c>
      <c r="AJ108" s="751"/>
      <c r="AK108" s="752"/>
      <c r="AL108" s="752"/>
      <c r="AM108" s="762">
        <f t="shared" ref="AM108:AM114" si="214">SUM(AJ108:AL108)</f>
        <v>0</v>
      </c>
      <c r="AN108" s="763">
        <f>AN106+1</f>
        <v>44284</v>
      </c>
    </row>
    <row r="109" spans="1:40" hidden="1">
      <c r="A109" s="7">
        <v>4</v>
      </c>
      <c r="B109">
        <v>1</v>
      </c>
      <c r="C109" t="s">
        <v>104</v>
      </c>
      <c r="D109" s="694">
        <v>39539</v>
      </c>
      <c r="E109" s="695">
        <v>14329.27</v>
      </c>
      <c r="F109" s="697">
        <v>39903</v>
      </c>
      <c r="G109" s="695">
        <v>12678.29</v>
      </c>
      <c r="H109" s="697">
        <v>40267</v>
      </c>
      <c r="I109" s="695">
        <v>8365.32</v>
      </c>
      <c r="J109" s="683">
        <v>40631</v>
      </c>
      <c r="K109" s="695">
        <v>13837.08</v>
      </c>
      <c r="L109" s="683">
        <v>41002</v>
      </c>
      <c r="M109" s="707">
        <v>10837.45</v>
      </c>
      <c r="N109" s="683">
        <v>41366</v>
      </c>
      <c r="O109" s="690">
        <v>8158.6</v>
      </c>
      <c r="P109" s="689">
        <v>41730</v>
      </c>
      <c r="Q109" s="686">
        <v>12783.13</v>
      </c>
      <c r="R109" s="760">
        <f>R108+1</f>
        <v>42094</v>
      </c>
      <c r="S109" s="774">
        <v>12732.5</v>
      </c>
      <c r="T109" s="760">
        <f>T108+1</f>
        <v>42465</v>
      </c>
      <c r="U109" s="774">
        <v>10479.5</v>
      </c>
      <c r="V109" s="829">
        <f>V108+1</f>
        <v>42829</v>
      </c>
      <c r="W109" s="837">
        <v>11234.15</v>
      </c>
      <c r="X109" s="760">
        <f>X108+1</f>
        <v>43193</v>
      </c>
      <c r="Y109" s="837">
        <v>13716.61</v>
      </c>
      <c r="Z109" s="760">
        <f>Z108+1</f>
        <v>43557</v>
      </c>
      <c r="AA109" s="837">
        <v>9850.59</v>
      </c>
      <c r="AB109" s="760">
        <f>AB108+1</f>
        <v>43921</v>
      </c>
      <c r="AC109" s="818"/>
      <c r="AD109" s="864"/>
      <c r="AJ109" s="751"/>
      <c r="AK109" s="752"/>
      <c r="AL109" s="753"/>
      <c r="AM109" s="762">
        <f t="shared" si="214"/>
        <v>0</v>
      </c>
      <c r="AN109" s="763">
        <f>AN108+1</f>
        <v>44285</v>
      </c>
    </row>
    <row r="110" spans="1:40" hidden="1">
      <c r="A110" s="7">
        <v>4</v>
      </c>
      <c r="B110">
        <v>1</v>
      </c>
      <c r="C110" t="s">
        <v>105</v>
      </c>
      <c r="D110" s="697">
        <v>39540</v>
      </c>
      <c r="E110" s="695">
        <v>14661.92</v>
      </c>
      <c r="F110" s="697">
        <v>39904</v>
      </c>
      <c r="G110" s="695">
        <v>11417.45</v>
      </c>
      <c r="H110" s="697">
        <v>40268</v>
      </c>
      <c r="I110" s="695">
        <v>11165.78</v>
      </c>
      <c r="J110" s="683">
        <v>40632</v>
      </c>
      <c r="K110" s="695">
        <v>10566.69</v>
      </c>
      <c r="L110" s="683">
        <v>41003</v>
      </c>
      <c r="M110" s="707">
        <v>12923.25</v>
      </c>
      <c r="N110" s="683">
        <v>41367</v>
      </c>
      <c r="O110" s="690">
        <v>10074.5</v>
      </c>
      <c r="P110" s="689">
        <v>41731</v>
      </c>
      <c r="Q110" s="686">
        <v>12707.97</v>
      </c>
      <c r="R110" s="760">
        <f t="shared" ref="R110:T114" si="215">R109+1</f>
        <v>42095</v>
      </c>
      <c r="S110" s="774">
        <v>13657.95</v>
      </c>
      <c r="T110" s="760">
        <f t="shared" si="215"/>
        <v>42466</v>
      </c>
      <c r="U110" s="774">
        <v>17428.7</v>
      </c>
      <c r="V110" s="829">
        <f t="shared" ref="V110:Z110" si="216">V109+1</f>
        <v>42830</v>
      </c>
      <c r="W110" s="768">
        <v>13588.01</v>
      </c>
      <c r="X110" s="760">
        <f t="shared" ref="X110" si="217">X109+1</f>
        <v>43194</v>
      </c>
      <c r="Y110" s="768">
        <v>14073.62</v>
      </c>
      <c r="Z110" s="760">
        <f t="shared" si="216"/>
        <v>43558</v>
      </c>
      <c r="AA110" s="768">
        <v>11887.75</v>
      </c>
      <c r="AB110" s="760">
        <f t="shared" ref="AB110" si="218">AB109+1</f>
        <v>43922</v>
      </c>
      <c r="AC110" s="774"/>
      <c r="AD110" s="864"/>
      <c r="AJ110" s="751"/>
      <c r="AK110" s="752"/>
      <c r="AL110" s="753"/>
      <c r="AM110" s="762">
        <f t="shared" si="214"/>
        <v>0</v>
      </c>
      <c r="AN110" s="763">
        <f t="shared" ref="AN110:AN114" si="219">AN109+1</f>
        <v>44286</v>
      </c>
    </row>
    <row r="111" spans="1:40" hidden="1">
      <c r="A111" s="7">
        <v>4</v>
      </c>
      <c r="B111">
        <v>1</v>
      </c>
      <c r="C111" t="s">
        <v>106</v>
      </c>
      <c r="D111" s="697">
        <v>39541</v>
      </c>
      <c r="E111" s="695">
        <v>17419.02</v>
      </c>
      <c r="F111" s="697">
        <v>39905</v>
      </c>
      <c r="G111" s="695">
        <v>12898.14</v>
      </c>
      <c r="H111" s="697">
        <v>40269</v>
      </c>
      <c r="I111" s="695">
        <v>16238.98</v>
      </c>
      <c r="J111" s="683">
        <v>40633</v>
      </c>
      <c r="K111" s="695">
        <v>12558.57</v>
      </c>
      <c r="L111" s="683">
        <v>41004</v>
      </c>
      <c r="M111" s="707">
        <v>14867.91</v>
      </c>
      <c r="N111" s="683">
        <v>41368</v>
      </c>
      <c r="O111" s="690">
        <v>13171.85</v>
      </c>
      <c r="P111" s="689">
        <v>41732</v>
      </c>
      <c r="Q111" s="686">
        <v>12962.61</v>
      </c>
      <c r="R111" s="760">
        <f t="shared" si="215"/>
        <v>42096</v>
      </c>
      <c r="S111" s="774">
        <v>21120.18</v>
      </c>
      <c r="T111" s="760">
        <f t="shared" si="215"/>
        <v>42467</v>
      </c>
      <c r="U111" s="774">
        <v>12776.71</v>
      </c>
      <c r="V111" s="829">
        <f t="shared" ref="V111:Z111" si="220">V110+1</f>
        <v>42831</v>
      </c>
      <c r="W111" s="768">
        <v>12023.25</v>
      </c>
      <c r="X111" s="760">
        <f t="shared" ref="X111" si="221">X110+1</f>
        <v>43195</v>
      </c>
      <c r="Y111" s="768">
        <v>20125.03</v>
      </c>
      <c r="Z111" s="760">
        <f t="shared" si="220"/>
        <v>43559</v>
      </c>
      <c r="AA111" s="768">
        <v>14852.04</v>
      </c>
      <c r="AB111" s="760">
        <f t="shared" ref="AB111" si="222">AB110+1</f>
        <v>43923</v>
      </c>
      <c r="AC111" s="774"/>
      <c r="AD111" s="864"/>
      <c r="AJ111" s="751"/>
      <c r="AK111" s="752"/>
      <c r="AL111" s="753"/>
      <c r="AM111" s="762">
        <f t="shared" si="214"/>
        <v>0</v>
      </c>
      <c r="AN111" s="763">
        <f t="shared" si="219"/>
        <v>44287</v>
      </c>
    </row>
    <row r="112" spans="1:40" hidden="1">
      <c r="A112" s="7">
        <v>4</v>
      </c>
      <c r="B112">
        <v>1</v>
      </c>
      <c r="C112" t="s">
        <v>107</v>
      </c>
      <c r="D112" s="697">
        <v>39542</v>
      </c>
      <c r="E112" s="695">
        <v>22664.49</v>
      </c>
      <c r="F112" s="697">
        <v>39906</v>
      </c>
      <c r="G112" s="695">
        <v>22776.42</v>
      </c>
      <c r="H112" s="697">
        <v>40270</v>
      </c>
      <c r="I112" s="695">
        <v>27350.75</v>
      </c>
      <c r="J112" s="683">
        <v>40634</v>
      </c>
      <c r="K112" s="695">
        <v>21610.959999999999</v>
      </c>
      <c r="L112" s="683">
        <v>41005</v>
      </c>
      <c r="M112" s="707">
        <v>23202.7</v>
      </c>
      <c r="N112" s="683">
        <v>41369</v>
      </c>
      <c r="O112" s="690">
        <v>22305.45</v>
      </c>
      <c r="P112" s="689">
        <v>41733</v>
      </c>
      <c r="Q112" s="686">
        <v>25967.01</v>
      </c>
      <c r="R112" s="760">
        <f t="shared" si="215"/>
        <v>42097</v>
      </c>
      <c r="S112" s="774">
        <v>29065.48</v>
      </c>
      <c r="T112" s="760">
        <f t="shared" si="215"/>
        <v>42468</v>
      </c>
      <c r="U112" s="774">
        <v>19837.650000000001</v>
      </c>
      <c r="V112" s="829">
        <f t="shared" ref="V112:Z112" si="223">V111+1</f>
        <v>42832</v>
      </c>
      <c r="W112" s="768">
        <v>21445.62</v>
      </c>
      <c r="X112" s="760">
        <f t="shared" ref="X112" si="224">X111+1</f>
        <v>43196</v>
      </c>
      <c r="Y112" s="768">
        <v>19604.32</v>
      </c>
      <c r="Z112" s="760">
        <f t="shared" si="223"/>
        <v>43560</v>
      </c>
      <c r="AA112" s="768">
        <v>23158.2</v>
      </c>
      <c r="AB112" s="760">
        <f t="shared" ref="AB112" si="225">AB111+1</f>
        <v>43924</v>
      </c>
      <c r="AC112" s="774"/>
      <c r="AD112" s="864"/>
      <c r="AJ112" s="751"/>
      <c r="AK112" s="752"/>
      <c r="AL112" s="753"/>
      <c r="AM112" s="762">
        <f t="shared" si="214"/>
        <v>0</v>
      </c>
      <c r="AN112" s="763">
        <f t="shared" si="219"/>
        <v>44288</v>
      </c>
    </row>
    <row r="113" spans="1:40" hidden="1">
      <c r="A113" s="7">
        <v>4</v>
      </c>
      <c r="B113">
        <v>1</v>
      </c>
      <c r="C113" t="s">
        <v>108</v>
      </c>
      <c r="D113" s="697">
        <v>39543</v>
      </c>
      <c r="E113" s="695">
        <v>25054.1</v>
      </c>
      <c r="F113" s="697">
        <v>39907</v>
      </c>
      <c r="G113" s="695">
        <v>17346.189999999999</v>
      </c>
      <c r="H113" s="697">
        <v>40271</v>
      </c>
      <c r="I113" s="695">
        <v>14632.12</v>
      </c>
      <c r="J113" s="683">
        <v>40635</v>
      </c>
      <c r="K113" s="695">
        <v>18009.919999999998</v>
      </c>
      <c r="L113" s="683">
        <v>41006</v>
      </c>
      <c r="M113" s="707">
        <v>20381.62</v>
      </c>
      <c r="N113" s="683">
        <v>41370</v>
      </c>
      <c r="O113" s="690">
        <v>21590.26</v>
      </c>
      <c r="P113" s="689">
        <v>41734</v>
      </c>
      <c r="Q113" s="686">
        <v>16749.310000000001</v>
      </c>
      <c r="R113" s="760">
        <f t="shared" si="215"/>
        <v>42098</v>
      </c>
      <c r="S113" s="774">
        <v>18918.8</v>
      </c>
      <c r="T113" s="760">
        <f t="shared" si="215"/>
        <v>42469</v>
      </c>
      <c r="U113" s="774">
        <v>24251.360000000001</v>
      </c>
      <c r="V113" s="829">
        <f t="shared" ref="V113:Z113" si="226">V112+1</f>
        <v>42833</v>
      </c>
      <c r="W113" s="768">
        <v>21202.71</v>
      </c>
      <c r="X113" s="760">
        <f t="shared" ref="X113" si="227">X112+1</f>
        <v>43197</v>
      </c>
      <c r="Y113" s="768">
        <v>25085.69</v>
      </c>
      <c r="Z113" s="760">
        <f t="shared" si="226"/>
        <v>43561</v>
      </c>
      <c r="AA113" s="768">
        <v>26377.9</v>
      </c>
      <c r="AB113" s="760">
        <f t="shared" ref="AB113" si="228">AB112+1</f>
        <v>43925</v>
      </c>
      <c r="AC113" s="774"/>
      <c r="AD113" s="864"/>
      <c r="AJ113" s="751"/>
      <c r="AK113" s="752"/>
      <c r="AL113" s="753"/>
      <c r="AM113" s="762">
        <f t="shared" si="214"/>
        <v>0</v>
      </c>
      <c r="AN113" s="763">
        <f t="shared" si="219"/>
        <v>44289</v>
      </c>
    </row>
    <row r="114" spans="1:40" ht="15.75" hidden="1" thickBot="1">
      <c r="A114" s="12">
        <v>4</v>
      </c>
      <c r="B114" s="14">
        <v>1</v>
      </c>
      <c r="C114" s="14" t="s">
        <v>109</v>
      </c>
      <c r="D114" s="697">
        <v>39544</v>
      </c>
      <c r="E114" s="695">
        <v>7882.82</v>
      </c>
      <c r="F114" s="699">
        <v>39908</v>
      </c>
      <c r="G114" s="695">
        <v>5642.33</v>
      </c>
      <c r="H114" s="699">
        <v>40272</v>
      </c>
      <c r="I114" s="695">
        <v>6711.52</v>
      </c>
      <c r="J114" s="700">
        <v>40636</v>
      </c>
      <c r="K114" s="695">
        <v>5356.85</v>
      </c>
      <c r="L114" s="683">
        <v>41007</v>
      </c>
      <c r="M114" s="707">
        <v>14002.7</v>
      </c>
      <c r="N114" s="683">
        <v>41371</v>
      </c>
      <c r="O114" s="690">
        <v>7234.97</v>
      </c>
      <c r="P114" s="689">
        <v>41735</v>
      </c>
      <c r="Q114" s="686">
        <v>11460.11</v>
      </c>
      <c r="R114" s="760">
        <f t="shared" si="215"/>
        <v>42099</v>
      </c>
      <c r="S114" s="775">
        <v>21044.75</v>
      </c>
      <c r="T114" s="760">
        <f t="shared" si="215"/>
        <v>42470</v>
      </c>
      <c r="U114" s="775">
        <v>13699.8</v>
      </c>
      <c r="V114" s="829">
        <f t="shared" ref="V114:Z114" si="229">V113+1</f>
        <v>42834</v>
      </c>
      <c r="W114" s="769">
        <v>15510.41</v>
      </c>
      <c r="X114" s="760">
        <f t="shared" ref="X114" si="230">X113+1</f>
        <v>43198</v>
      </c>
      <c r="Y114" s="769">
        <v>12829.86</v>
      </c>
      <c r="Z114" s="760">
        <f t="shared" si="229"/>
        <v>43562</v>
      </c>
      <c r="AA114" s="769">
        <v>12996.8</v>
      </c>
      <c r="AB114" s="760">
        <f t="shared" ref="AB114" si="231">AB113+1</f>
        <v>43926</v>
      </c>
      <c r="AC114" s="775"/>
      <c r="AD114" s="865"/>
      <c r="AE114" s="203">
        <f>SUM(E108:E114)</f>
        <v>111888.89000000001</v>
      </c>
      <c r="AF114" s="203">
        <f>SUM(G108:G114)</f>
        <v>90586.880000000005</v>
      </c>
      <c r="AG114" s="203">
        <f>SUM(I108:I114)</f>
        <v>89750.58</v>
      </c>
      <c r="AH114" s="203">
        <f>SUM(K108:K114)</f>
        <v>89524.38</v>
      </c>
      <c r="AI114" s="203">
        <f>SUM(M108:M114)</f>
        <v>104462.23</v>
      </c>
      <c r="AJ114" s="751"/>
      <c r="AK114" s="752"/>
      <c r="AL114" s="754"/>
      <c r="AM114" s="762">
        <f t="shared" si="214"/>
        <v>0</v>
      </c>
      <c r="AN114" s="763">
        <f t="shared" si="219"/>
        <v>44290</v>
      </c>
    </row>
    <row r="115" spans="1:40" s="428" customFormat="1" ht="15.75" hidden="1" thickBot="1">
      <c r="A115" s="486"/>
      <c r="C115" s="809" t="s">
        <v>282</v>
      </c>
      <c r="D115" s="810"/>
      <c r="E115" s="811"/>
      <c r="F115" s="810"/>
      <c r="G115" s="811"/>
      <c r="H115" s="810"/>
      <c r="I115" s="811"/>
      <c r="J115" s="812"/>
      <c r="K115" s="813"/>
      <c r="L115" s="812"/>
      <c r="M115" s="813"/>
      <c r="N115" s="812"/>
      <c r="O115" s="814">
        <f>SUM(O108:O114)</f>
        <v>89963.73</v>
      </c>
      <c r="P115" s="812"/>
      <c r="Q115" s="814">
        <f>SUM(Q108:Q114)</f>
        <v>103485.06999999999</v>
      </c>
      <c r="R115" s="815"/>
      <c r="S115" s="816">
        <f>SUM(S108:S114)</f>
        <v>125074.06000000001</v>
      </c>
      <c r="T115" s="815"/>
      <c r="U115" s="816">
        <f>SUM(U108:U114)</f>
        <v>103651.72</v>
      </c>
      <c r="V115" s="815"/>
      <c r="W115" s="816">
        <f>SUM(W108:W114)</f>
        <v>101915.04999999999</v>
      </c>
      <c r="X115" s="815"/>
      <c r="Y115" s="816">
        <f>SUM(Y108:Y114)</f>
        <v>112560.48</v>
      </c>
      <c r="Z115" s="815"/>
      <c r="AA115" s="816">
        <f>SUM(AA108:AA114)</f>
        <v>107278.68000000001</v>
      </c>
      <c r="AB115" s="815"/>
      <c r="AC115" s="816">
        <f>SUM(AC108:AC114)</f>
        <v>0</v>
      </c>
      <c r="AD115" s="758"/>
      <c r="AE115" s="822"/>
      <c r="AF115" s="822"/>
      <c r="AG115" s="822"/>
      <c r="AH115" s="822"/>
      <c r="AI115" s="822"/>
      <c r="AJ115" s="820">
        <f>SUM(AJ108:AJ114)</f>
        <v>0</v>
      </c>
      <c r="AK115" s="823">
        <f>SUM(AK108:AK114)</f>
        <v>0</v>
      </c>
      <c r="AL115" s="823">
        <f>SUM(AL108:AL114)</f>
        <v>0</v>
      </c>
      <c r="AM115" s="821">
        <f>SUM(AM108:AM114)</f>
        <v>0</v>
      </c>
    </row>
    <row r="116" spans="1:40" ht="15.75" hidden="1" thickBot="1">
      <c r="A116" s="5">
        <v>4</v>
      </c>
      <c r="B116" s="16">
        <v>2</v>
      </c>
      <c r="C116" s="16" t="s">
        <v>103</v>
      </c>
      <c r="D116" s="699">
        <v>39545</v>
      </c>
      <c r="E116" s="695">
        <v>8847</v>
      </c>
      <c r="F116" s="694">
        <v>39909</v>
      </c>
      <c r="G116" s="695">
        <v>6973.85</v>
      </c>
      <c r="H116" s="694">
        <v>40273</v>
      </c>
      <c r="I116" s="695">
        <v>6348.39</v>
      </c>
      <c r="J116" s="701">
        <v>40637</v>
      </c>
      <c r="K116" s="695">
        <v>5805.49</v>
      </c>
      <c r="L116" s="683">
        <v>41008</v>
      </c>
      <c r="M116" s="707">
        <v>8271.25</v>
      </c>
      <c r="N116" s="683">
        <v>41372</v>
      </c>
      <c r="O116" s="690">
        <v>7573.7</v>
      </c>
      <c r="P116" s="689">
        <v>41736</v>
      </c>
      <c r="Q116" s="686">
        <v>5015</v>
      </c>
      <c r="R116" s="759">
        <f>R114+1</f>
        <v>42100</v>
      </c>
      <c r="S116" s="767">
        <v>5694.05</v>
      </c>
      <c r="T116" s="759">
        <f>T114+1</f>
        <v>42471</v>
      </c>
      <c r="U116" s="767">
        <v>6889.3</v>
      </c>
      <c r="V116" s="634">
        <f>V114+1</f>
        <v>42835</v>
      </c>
      <c r="W116" s="767">
        <v>8544.75</v>
      </c>
      <c r="X116" s="759">
        <f>X114+1</f>
        <v>43199</v>
      </c>
      <c r="Y116" s="767">
        <v>7839.87</v>
      </c>
      <c r="Z116" s="759">
        <f>Z114+1</f>
        <v>43563</v>
      </c>
      <c r="AA116" s="767">
        <v>9300.7999999999993</v>
      </c>
      <c r="AB116" s="759">
        <f>AB114+1</f>
        <v>43927</v>
      </c>
      <c r="AC116" s="772"/>
      <c r="AD116" s="863" t="s">
        <v>124</v>
      </c>
      <c r="AJ116" s="751"/>
      <c r="AK116" s="752"/>
      <c r="AL116" s="752"/>
      <c r="AM116" s="762">
        <f t="shared" ref="AM116:AM122" si="232">SUM(AJ116:AL116)</f>
        <v>0</v>
      </c>
      <c r="AN116" s="763">
        <f>AN114+1</f>
        <v>44291</v>
      </c>
    </row>
    <row r="117" spans="1:40" hidden="1">
      <c r="A117" s="7">
        <v>4</v>
      </c>
      <c r="B117">
        <v>2</v>
      </c>
      <c r="C117" t="s">
        <v>104</v>
      </c>
      <c r="D117" s="694">
        <v>39546</v>
      </c>
      <c r="E117" s="695">
        <v>14483.32</v>
      </c>
      <c r="F117" s="697">
        <v>39910</v>
      </c>
      <c r="G117" s="695">
        <v>9245.6</v>
      </c>
      <c r="H117" s="697">
        <v>40274</v>
      </c>
      <c r="I117" s="695">
        <v>7263.41</v>
      </c>
      <c r="J117" s="683">
        <v>40638</v>
      </c>
      <c r="K117" s="695">
        <v>7234.66</v>
      </c>
      <c r="L117" s="683">
        <v>41009</v>
      </c>
      <c r="M117" s="707">
        <v>11201.6</v>
      </c>
      <c r="N117" s="683">
        <v>41373</v>
      </c>
      <c r="O117" s="690">
        <v>11688.3</v>
      </c>
      <c r="P117" s="689">
        <v>41737</v>
      </c>
      <c r="Q117" s="686">
        <v>9420.35</v>
      </c>
      <c r="R117" s="760">
        <f>R116+1</f>
        <v>42101</v>
      </c>
      <c r="S117" s="768">
        <v>8049.3</v>
      </c>
      <c r="T117" s="760">
        <f>T116+1</f>
        <v>42472</v>
      </c>
      <c r="U117" s="768">
        <v>11546.45</v>
      </c>
      <c r="V117" s="829">
        <f>V116+1</f>
        <v>42836</v>
      </c>
      <c r="W117" s="837">
        <v>11705.81</v>
      </c>
      <c r="X117" s="760">
        <f>X116+1</f>
        <v>43200</v>
      </c>
      <c r="Y117" s="837">
        <v>10414.5</v>
      </c>
      <c r="Z117" s="760">
        <f>Z116+1</f>
        <v>43564</v>
      </c>
      <c r="AA117" s="837">
        <v>13084.23</v>
      </c>
      <c r="AB117" s="760">
        <f>AB116+1</f>
        <v>43928</v>
      </c>
      <c r="AC117" s="818"/>
      <c r="AD117" s="864"/>
      <c r="AJ117" s="751"/>
      <c r="AK117" s="752"/>
      <c r="AL117" s="753"/>
      <c r="AM117" s="762">
        <f t="shared" si="232"/>
        <v>0</v>
      </c>
      <c r="AN117" s="763">
        <f>AN116+1</f>
        <v>44292</v>
      </c>
    </row>
    <row r="118" spans="1:40" hidden="1">
      <c r="A118" s="7">
        <v>4</v>
      </c>
      <c r="B118">
        <v>2</v>
      </c>
      <c r="C118" t="s">
        <v>105</v>
      </c>
      <c r="D118" s="697">
        <v>39547</v>
      </c>
      <c r="E118" s="695">
        <v>16792.28</v>
      </c>
      <c r="F118" s="697">
        <v>39911</v>
      </c>
      <c r="G118" s="695">
        <v>9446.98</v>
      </c>
      <c r="H118" s="697">
        <v>40275</v>
      </c>
      <c r="I118" s="695">
        <v>12461.56</v>
      </c>
      <c r="J118" s="683">
        <v>40639</v>
      </c>
      <c r="K118" s="695">
        <v>10756.55</v>
      </c>
      <c r="L118" s="683">
        <v>41010</v>
      </c>
      <c r="M118" s="707">
        <v>15322.65</v>
      </c>
      <c r="N118" s="683">
        <v>41374</v>
      </c>
      <c r="O118" s="690">
        <v>12968.76</v>
      </c>
      <c r="P118" s="689">
        <v>41738</v>
      </c>
      <c r="Q118" s="686">
        <v>12944.1</v>
      </c>
      <c r="R118" s="760">
        <f t="shared" ref="R118:T122" si="233">R117+1</f>
        <v>42102</v>
      </c>
      <c r="S118" s="768">
        <v>13311.3</v>
      </c>
      <c r="T118" s="760">
        <f t="shared" si="233"/>
        <v>42473</v>
      </c>
      <c r="U118" s="768">
        <v>10811.9</v>
      </c>
      <c r="V118" s="829">
        <f t="shared" ref="V118:Z118" si="234">V117+1</f>
        <v>42837</v>
      </c>
      <c r="W118" s="768">
        <v>16147.71</v>
      </c>
      <c r="X118" s="760">
        <f t="shared" ref="X118" si="235">X117+1</f>
        <v>43201</v>
      </c>
      <c r="Y118" s="768">
        <v>13318.51</v>
      </c>
      <c r="Z118" s="760">
        <f t="shared" si="234"/>
        <v>43565</v>
      </c>
      <c r="AA118" s="768">
        <v>14758.92</v>
      </c>
      <c r="AB118" s="760">
        <f t="shared" ref="AB118" si="236">AB117+1</f>
        <v>43929</v>
      </c>
      <c r="AC118" s="774"/>
      <c r="AD118" s="864"/>
      <c r="AJ118" s="751"/>
      <c r="AK118" s="752"/>
      <c r="AL118" s="753"/>
      <c r="AM118" s="762">
        <f t="shared" si="232"/>
        <v>0</v>
      </c>
      <c r="AN118" s="763">
        <f t="shared" ref="AN118:AN122" si="237">AN117+1</f>
        <v>44293</v>
      </c>
    </row>
    <row r="119" spans="1:40" hidden="1">
      <c r="A119" s="7">
        <v>4</v>
      </c>
      <c r="B119">
        <v>2</v>
      </c>
      <c r="C119" t="s">
        <v>106</v>
      </c>
      <c r="D119" s="697">
        <v>39548</v>
      </c>
      <c r="E119" s="695">
        <v>17445.93</v>
      </c>
      <c r="F119" s="697">
        <v>39912</v>
      </c>
      <c r="G119" s="695">
        <v>13195.34</v>
      </c>
      <c r="H119" s="697">
        <v>40276</v>
      </c>
      <c r="I119" s="695">
        <v>14818.69</v>
      </c>
      <c r="J119" s="683">
        <v>40640</v>
      </c>
      <c r="K119" s="695">
        <v>13637.5</v>
      </c>
      <c r="L119" s="683">
        <v>41011</v>
      </c>
      <c r="M119" s="707">
        <v>13933.85</v>
      </c>
      <c r="N119" s="683">
        <v>41375</v>
      </c>
      <c r="O119" s="690">
        <v>12104.65</v>
      </c>
      <c r="P119" s="689">
        <v>41739</v>
      </c>
      <c r="Q119" s="686">
        <v>14192.2</v>
      </c>
      <c r="R119" s="760">
        <f t="shared" si="233"/>
        <v>42103</v>
      </c>
      <c r="S119" s="768">
        <v>13544.4</v>
      </c>
      <c r="T119" s="760">
        <f t="shared" si="233"/>
        <v>42474</v>
      </c>
      <c r="U119" s="768">
        <v>12888.03</v>
      </c>
      <c r="V119" s="829">
        <f t="shared" ref="V119:Z119" si="238">V118+1</f>
        <v>42838</v>
      </c>
      <c r="W119" s="768">
        <v>13660.75</v>
      </c>
      <c r="X119" s="760">
        <f t="shared" ref="X119" si="239">X118+1</f>
        <v>43202</v>
      </c>
      <c r="Y119" s="768">
        <v>14196.11</v>
      </c>
      <c r="Z119" s="760">
        <f t="shared" si="238"/>
        <v>43566</v>
      </c>
      <c r="AA119" s="768">
        <v>14307.91</v>
      </c>
      <c r="AB119" s="760">
        <f t="shared" ref="AB119" si="240">AB118+1</f>
        <v>43930</v>
      </c>
      <c r="AC119" s="774"/>
      <c r="AD119" s="864"/>
      <c r="AJ119" s="751"/>
      <c r="AK119" s="752"/>
      <c r="AL119" s="753"/>
      <c r="AM119" s="762">
        <f t="shared" si="232"/>
        <v>0</v>
      </c>
      <c r="AN119" s="763">
        <f t="shared" si="237"/>
        <v>44294</v>
      </c>
    </row>
    <row r="120" spans="1:40" hidden="1">
      <c r="A120" s="7">
        <v>4</v>
      </c>
      <c r="B120">
        <v>2</v>
      </c>
      <c r="C120" t="s">
        <v>107</v>
      </c>
      <c r="D120" s="697">
        <v>39549</v>
      </c>
      <c r="E120" s="695">
        <v>21585.040000000001</v>
      </c>
      <c r="F120" s="697">
        <v>39913</v>
      </c>
      <c r="G120" s="695">
        <v>23256.43</v>
      </c>
      <c r="H120" s="697">
        <v>40277</v>
      </c>
      <c r="I120" s="695">
        <v>16525.560000000001</v>
      </c>
      <c r="J120" s="683">
        <v>40641</v>
      </c>
      <c r="K120" s="695">
        <v>20355.919999999998</v>
      </c>
      <c r="L120" s="683">
        <v>41012</v>
      </c>
      <c r="M120" s="707">
        <v>21543.599999999999</v>
      </c>
      <c r="N120" s="683">
        <v>41376</v>
      </c>
      <c r="O120" s="690">
        <v>18782.349999999999</v>
      </c>
      <c r="P120" s="689">
        <v>41740</v>
      </c>
      <c r="Q120" s="686">
        <v>29027.599999999999</v>
      </c>
      <c r="R120" s="760">
        <f t="shared" si="233"/>
        <v>42104</v>
      </c>
      <c r="S120" s="768">
        <v>18069.46</v>
      </c>
      <c r="T120" s="760">
        <f t="shared" si="233"/>
        <v>42475</v>
      </c>
      <c r="U120" s="768">
        <v>22004.23</v>
      </c>
      <c r="V120" s="829">
        <f t="shared" ref="V120:Z120" si="241">V119+1</f>
        <v>42839</v>
      </c>
      <c r="W120" s="768">
        <v>25622.05</v>
      </c>
      <c r="X120" s="760">
        <f t="shared" ref="X120" si="242">X119+1</f>
        <v>43203</v>
      </c>
      <c r="Y120" s="768">
        <v>19070.57</v>
      </c>
      <c r="Z120" s="760">
        <f t="shared" si="241"/>
        <v>43567</v>
      </c>
      <c r="AA120" s="768">
        <v>24614.53</v>
      </c>
      <c r="AB120" s="760">
        <f t="shared" ref="AB120" si="243">AB119+1</f>
        <v>43931</v>
      </c>
      <c r="AC120" s="774"/>
      <c r="AD120" s="864"/>
      <c r="AJ120" s="751"/>
      <c r="AK120" s="752"/>
      <c r="AL120" s="753"/>
      <c r="AM120" s="762">
        <f t="shared" si="232"/>
        <v>0</v>
      </c>
      <c r="AN120" s="763">
        <f t="shared" si="237"/>
        <v>44295</v>
      </c>
    </row>
    <row r="121" spans="1:40" hidden="1">
      <c r="A121" s="7">
        <v>4</v>
      </c>
      <c r="B121">
        <v>2</v>
      </c>
      <c r="C121" t="s">
        <v>108</v>
      </c>
      <c r="D121" s="697">
        <v>39550</v>
      </c>
      <c r="E121" s="695">
        <v>27624.1</v>
      </c>
      <c r="F121" s="697">
        <v>39914</v>
      </c>
      <c r="G121" s="695">
        <v>15303.85</v>
      </c>
      <c r="H121" s="697">
        <v>40278</v>
      </c>
      <c r="I121" s="695">
        <v>19906.509999999998</v>
      </c>
      <c r="J121" s="683">
        <v>40642</v>
      </c>
      <c r="K121" s="695">
        <v>19255.77</v>
      </c>
      <c r="L121" s="683">
        <v>41013</v>
      </c>
      <c r="M121" s="707">
        <v>19573.96</v>
      </c>
      <c r="N121" s="683">
        <v>41377</v>
      </c>
      <c r="O121" s="690">
        <v>23940.05</v>
      </c>
      <c r="P121" s="689">
        <v>41741</v>
      </c>
      <c r="Q121" s="686">
        <v>23105.200000000001</v>
      </c>
      <c r="R121" s="760">
        <f t="shared" si="233"/>
        <v>42105</v>
      </c>
      <c r="S121" s="768">
        <v>21792.87</v>
      </c>
      <c r="T121" s="760">
        <f t="shared" si="233"/>
        <v>42476</v>
      </c>
      <c r="U121" s="768">
        <v>20540.37</v>
      </c>
      <c r="V121" s="829">
        <f t="shared" ref="V121:Z121" si="244">V120+1</f>
        <v>42840</v>
      </c>
      <c r="W121" s="768">
        <v>20001.05</v>
      </c>
      <c r="X121" s="760">
        <f t="shared" ref="X121" si="245">X120+1</f>
        <v>43204</v>
      </c>
      <c r="Y121" s="768">
        <v>21198.69</v>
      </c>
      <c r="Z121" s="760">
        <f t="shared" si="244"/>
        <v>43568</v>
      </c>
      <c r="AA121" s="768">
        <v>20503.150000000001</v>
      </c>
      <c r="AB121" s="760">
        <f t="shared" ref="AB121" si="246">AB120+1</f>
        <v>43932</v>
      </c>
      <c r="AC121" s="774"/>
      <c r="AD121" s="864"/>
      <c r="AJ121" s="751"/>
      <c r="AK121" s="752"/>
      <c r="AL121" s="753"/>
      <c r="AM121" s="762">
        <f t="shared" si="232"/>
        <v>0</v>
      </c>
      <c r="AN121" s="763">
        <f t="shared" si="237"/>
        <v>44296</v>
      </c>
    </row>
    <row r="122" spans="1:40" ht="15.75" hidden="1" thickBot="1">
      <c r="A122" s="12">
        <v>4</v>
      </c>
      <c r="B122" s="14">
        <v>2</v>
      </c>
      <c r="C122" s="14" t="s">
        <v>109</v>
      </c>
      <c r="D122" s="697">
        <v>39551</v>
      </c>
      <c r="E122" s="695">
        <v>7238.16</v>
      </c>
      <c r="F122" s="699">
        <v>39915</v>
      </c>
      <c r="G122" s="695">
        <v>7502.34</v>
      </c>
      <c r="H122" s="699">
        <v>40279</v>
      </c>
      <c r="I122" s="695">
        <v>3988.47</v>
      </c>
      <c r="J122" s="700">
        <v>40643</v>
      </c>
      <c r="K122" s="695">
        <v>5203.7</v>
      </c>
      <c r="L122" s="683">
        <v>41014</v>
      </c>
      <c r="M122" s="707">
        <v>7064.15</v>
      </c>
      <c r="N122" s="683">
        <v>41378</v>
      </c>
      <c r="O122" s="690">
        <v>6454.35</v>
      </c>
      <c r="P122" s="689">
        <v>41742</v>
      </c>
      <c r="Q122" s="686">
        <v>9740.35</v>
      </c>
      <c r="R122" s="760">
        <f t="shared" si="233"/>
        <v>42106</v>
      </c>
      <c r="S122" s="769">
        <v>13761.1</v>
      </c>
      <c r="T122" s="760">
        <f t="shared" si="233"/>
        <v>42477</v>
      </c>
      <c r="U122" s="769">
        <v>14748.65</v>
      </c>
      <c r="V122" s="829">
        <f t="shared" ref="V122:Z122" si="247">V121+1</f>
        <v>42841</v>
      </c>
      <c r="W122" s="769">
        <v>17978.27</v>
      </c>
      <c r="X122" s="760">
        <f t="shared" ref="X122" si="248">X121+1</f>
        <v>43205</v>
      </c>
      <c r="Y122" s="769">
        <v>12073.06</v>
      </c>
      <c r="Z122" s="760">
        <f t="shared" si="247"/>
        <v>43569</v>
      </c>
      <c r="AA122" s="769">
        <v>12051.7</v>
      </c>
      <c r="AB122" s="760">
        <f t="shared" ref="AB122" si="249">AB121+1</f>
        <v>43933</v>
      </c>
      <c r="AC122" s="775"/>
      <c r="AD122" s="865"/>
      <c r="AE122" s="203">
        <f>SUM(E116:E122)</f>
        <v>114015.83000000002</v>
      </c>
      <c r="AF122" s="203">
        <f>SUM(G116:G122)</f>
        <v>84924.39</v>
      </c>
      <c r="AG122" s="203">
        <f>SUM(I116:I122)</f>
        <v>81312.59</v>
      </c>
      <c r="AH122" s="203">
        <f>SUM(K116:K122)</f>
        <v>82249.59</v>
      </c>
      <c r="AI122" s="203">
        <f>SUM(M116:M122)</f>
        <v>96911.06</v>
      </c>
      <c r="AJ122" s="751"/>
      <c r="AK122" s="752"/>
      <c r="AL122" s="754"/>
      <c r="AM122" s="762">
        <f t="shared" si="232"/>
        <v>0</v>
      </c>
      <c r="AN122" s="763">
        <f t="shared" si="237"/>
        <v>44297</v>
      </c>
    </row>
    <row r="123" spans="1:40" s="428" customFormat="1" ht="15.75" hidden="1" thickBot="1">
      <c r="A123" s="486"/>
      <c r="C123" s="809" t="s">
        <v>282</v>
      </c>
      <c r="D123" s="810"/>
      <c r="E123" s="811"/>
      <c r="F123" s="810"/>
      <c r="G123" s="811"/>
      <c r="H123" s="810"/>
      <c r="I123" s="811"/>
      <c r="J123" s="812"/>
      <c r="K123" s="813"/>
      <c r="L123" s="812"/>
      <c r="M123" s="813"/>
      <c r="N123" s="812"/>
      <c r="O123" s="814">
        <f>SUM(O116:O122)</f>
        <v>93512.16</v>
      </c>
      <c r="P123" s="812"/>
      <c r="Q123" s="814">
        <f>SUM(Q116:Q122)</f>
        <v>103444.8</v>
      </c>
      <c r="R123" s="815"/>
      <c r="S123" s="816">
        <f>SUM(S116:S122)</f>
        <v>94222.48000000001</v>
      </c>
      <c r="T123" s="815"/>
      <c r="U123" s="816">
        <f>SUM(U116:U122)</f>
        <v>99428.93</v>
      </c>
      <c r="V123" s="815"/>
      <c r="W123" s="816">
        <f>SUM(W116:W122)</f>
        <v>113660.39</v>
      </c>
      <c r="X123" s="815"/>
      <c r="Y123" s="816">
        <f>SUM(Y116:Y122)</f>
        <v>98111.31</v>
      </c>
      <c r="Z123" s="815"/>
      <c r="AA123" s="816">
        <f>SUM(AA116:AA122)</f>
        <v>108621.24</v>
      </c>
      <c r="AB123" s="815"/>
      <c r="AC123" s="816">
        <f>SUM(AC116:AC122)</f>
        <v>0</v>
      </c>
      <c r="AD123" s="758"/>
      <c r="AE123" s="822"/>
      <c r="AF123" s="822"/>
      <c r="AG123" s="822"/>
      <c r="AH123" s="822"/>
      <c r="AI123" s="822"/>
      <c r="AJ123" s="820">
        <f>SUM(AJ116:AJ122)</f>
        <v>0</v>
      </c>
      <c r="AK123" s="823">
        <f>SUM(AK116:AK122)</f>
        <v>0</v>
      </c>
      <c r="AL123" s="823">
        <f>SUM(AL116:AL122)</f>
        <v>0</v>
      </c>
      <c r="AM123" s="821">
        <f>SUM(AM116:AM122)</f>
        <v>0</v>
      </c>
    </row>
    <row r="124" spans="1:40" ht="15.75" hidden="1" thickBot="1">
      <c r="A124" s="5">
        <v>4</v>
      </c>
      <c r="B124" s="16">
        <v>3</v>
      </c>
      <c r="C124" s="16" t="s">
        <v>103</v>
      </c>
      <c r="D124" s="699">
        <v>39552</v>
      </c>
      <c r="E124" s="695">
        <v>7946.76</v>
      </c>
      <c r="F124" s="694">
        <v>39916</v>
      </c>
      <c r="G124" s="695">
        <v>5545.06</v>
      </c>
      <c r="H124" s="694">
        <v>40280</v>
      </c>
      <c r="I124" s="695">
        <v>6311.54</v>
      </c>
      <c r="J124" s="701">
        <v>40644</v>
      </c>
      <c r="K124" s="695">
        <v>6306.6</v>
      </c>
      <c r="L124" s="683">
        <v>41015</v>
      </c>
      <c r="M124" s="707">
        <v>9633.5</v>
      </c>
      <c r="N124" s="683">
        <v>41379</v>
      </c>
      <c r="O124" s="690">
        <v>17576.490000000002</v>
      </c>
      <c r="P124" s="689">
        <v>41743</v>
      </c>
      <c r="Q124" s="686">
        <v>8900.24</v>
      </c>
      <c r="R124" s="759">
        <f>R122+1</f>
        <v>42107</v>
      </c>
      <c r="S124" s="767">
        <v>6104.4</v>
      </c>
      <c r="T124" s="759">
        <f>T122+1</f>
        <v>42478</v>
      </c>
      <c r="U124" s="767">
        <v>21410.85</v>
      </c>
      <c r="V124" s="634">
        <f>V122+1</f>
        <v>42842</v>
      </c>
      <c r="W124" s="767">
        <v>7812.66</v>
      </c>
      <c r="X124" s="759">
        <f>X122+1</f>
        <v>43206</v>
      </c>
      <c r="Y124" s="767">
        <v>10634.3</v>
      </c>
      <c r="Z124" s="759">
        <f>Z122+1</f>
        <v>43570</v>
      </c>
      <c r="AA124" s="767">
        <v>16778.84</v>
      </c>
      <c r="AB124" s="759">
        <f>AB122+1</f>
        <v>43934</v>
      </c>
      <c r="AC124" s="772"/>
      <c r="AD124" s="863" t="s">
        <v>125</v>
      </c>
      <c r="AJ124" s="751"/>
      <c r="AK124" s="752"/>
      <c r="AL124" s="752"/>
      <c r="AM124" s="762">
        <f t="shared" ref="AM124:AM130" si="250">SUM(AJ124:AL124)</f>
        <v>0</v>
      </c>
      <c r="AN124" s="763">
        <f>AN122+1</f>
        <v>44298</v>
      </c>
    </row>
    <row r="125" spans="1:40" hidden="1">
      <c r="A125" s="7">
        <v>4</v>
      </c>
      <c r="B125">
        <v>3</v>
      </c>
      <c r="C125" t="s">
        <v>104</v>
      </c>
      <c r="D125" s="694">
        <v>39553</v>
      </c>
      <c r="E125" s="695">
        <v>15109.96</v>
      </c>
      <c r="F125" s="697">
        <v>39917</v>
      </c>
      <c r="G125" s="695">
        <v>9048.69</v>
      </c>
      <c r="H125" s="697">
        <v>40281</v>
      </c>
      <c r="I125" s="695">
        <v>11754.02</v>
      </c>
      <c r="J125" s="683">
        <v>40645</v>
      </c>
      <c r="K125" s="695">
        <v>11451.57</v>
      </c>
      <c r="L125" s="683">
        <v>41016</v>
      </c>
      <c r="M125" s="707">
        <v>20591.150000000001</v>
      </c>
      <c r="N125" s="683">
        <v>41380</v>
      </c>
      <c r="O125" s="690">
        <v>13401.61</v>
      </c>
      <c r="P125" s="689">
        <v>41744</v>
      </c>
      <c r="Q125" s="686">
        <v>9511.2000000000007</v>
      </c>
      <c r="R125" s="760">
        <f>R124+1</f>
        <v>42108</v>
      </c>
      <c r="S125" s="768">
        <v>10180.41</v>
      </c>
      <c r="T125" s="760">
        <f>T124+1</f>
        <v>42479</v>
      </c>
      <c r="U125" s="768">
        <v>12201.25</v>
      </c>
      <c r="V125" s="829">
        <f>V124+1</f>
        <v>42843</v>
      </c>
      <c r="W125" s="837">
        <v>21141.81</v>
      </c>
      <c r="X125" s="760">
        <f>X124+1</f>
        <v>43207</v>
      </c>
      <c r="Y125" s="837">
        <v>20845.259999999998</v>
      </c>
      <c r="Z125" s="760">
        <f>Z124+1</f>
        <v>43571</v>
      </c>
      <c r="AA125" s="837">
        <v>11093.75</v>
      </c>
      <c r="AB125" s="760">
        <f>AB124+1</f>
        <v>43935</v>
      </c>
      <c r="AC125" s="818"/>
      <c r="AD125" s="864"/>
      <c r="AJ125" s="751"/>
      <c r="AK125" s="752"/>
      <c r="AL125" s="753"/>
      <c r="AM125" s="762">
        <f t="shared" si="250"/>
        <v>0</v>
      </c>
      <c r="AN125" s="763">
        <f>AN124+1</f>
        <v>44299</v>
      </c>
    </row>
    <row r="126" spans="1:40" hidden="1">
      <c r="A126" s="7">
        <v>4</v>
      </c>
      <c r="B126">
        <v>3</v>
      </c>
      <c r="C126" t="s">
        <v>105</v>
      </c>
      <c r="D126" s="697">
        <v>39554</v>
      </c>
      <c r="E126" s="695">
        <v>15458.95</v>
      </c>
      <c r="F126" s="697">
        <v>39918</v>
      </c>
      <c r="G126" s="695">
        <v>11567.96</v>
      </c>
      <c r="H126" s="697">
        <v>40282</v>
      </c>
      <c r="I126" s="695">
        <v>13541.64</v>
      </c>
      <c r="J126" s="683">
        <v>40646</v>
      </c>
      <c r="K126" s="695">
        <v>13439.15</v>
      </c>
      <c r="L126" s="683">
        <v>41017</v>
      </c>
      <c r="M126" s="707">
        <v>13688.8</v>
      </c>
      <c r="N126" s="683">
        <v>41381</v>
      </c>
      <c r="O126" s="690">
        <v>11308.95</v>
      </c>
      <c r="P126" s="689">
        <v>41745</v>
      </c>
      <c r="Q126" s="686">
        <v>13824.25</v>
      </c>
      <c r="R126" s="760">
        <f t="shared" ref="R126:T130" si="251">R125+1</f>
        <v>42109</v>
      </c>
      <c r="S126" s="768">
        <v>20035.060000000001</v>
      </c>
      <c r="T126" s="760">
        <f t="shared" si="251"/>
        <v>42480</v>
      </c>
      <c r="U126" s="768">
        <v>16806.650000000001</v>
      </c>
      <c r="V126" s="829">
        <f t="shared" ref="V126:Z126" si="252">V125+1</f>
        <v>42844</v>
      </c>
      <c r="W126" s="768">
        <v>16812.060000000001</v>
      </c>
      <c r="X126" s="760">
        <f t="shared" ref="X126" si="253">X125+1</f>
        <v>43208</v>
      </c>
      <c r="Y126" s="768">
        <v>15946.91</v>
      </c>
      <c r="Z126" s="760">
        <f t="shared" si="252"/>
        <v>43572</v>
      </c>
      <c r="AA126" s="768">
        <v>13990.51</v>
      </c>
      <c r="AB126" s="760">
        <f t="shared" ref="AB126" si="254">AB125+1</f>
        <v>43936</v>
      </c>
      <c r="AC126" s="774"/>
      <c r="AD126" s="864"/>
      <c r="AJ126" s="751"/>
      <c r="AK126" s="752"/>
      <c r="AL126" s="753"/>
      <c r="AM126" s="762">
        <f t="shared" si="250"/>
        <v>0</v>
      </c>
      <c r="AN126" s="763">
        <f t="shared" ref="AN126:AN130" si="255">AN125+1</f>
        <v>44300</v>
      </c>
    </row>
    <row r="127" spans="1:40" hidden="1">
      <c r="A127" s="7">
        <v>4</v>
      </c>
      <c r="B127">
        <v>3</v>
      </c>
      <c r="C127" t="s">
        <v>106</v>
      </c>
      <c r="D127" s="697">
        <v>39555</v>
      </c>
      <c r="E127" s="695">
        <v>18767.53</v>
      </c>
      <c r="F127" s="697">
        <v>39919</v>
      </c>
      <c r="G127" s="695">
        <v>13709.78</v>
      </c>
      <c r="H127" s="697">
        <v>40283</v>
      </c>
      <c r="I127" s="695">
        <v>18227.84</v>
      </c>
      <c r="J127" s="683">
        <v>40647</v>
      </c>
      <c r="K127" s="695">
        <v>16127.23</v>
      </c>
      <c r="L127" s="683">
        <v>41018</v>
      </c>
      <c r="M127" s="707">
        <v>13799.65</v>
      </c>
      <c r="N127" s="683">
        <v>41382</v>
      </c>
      <c r="O127" s="690">
        <v>10891.45</v>
      </c>
      <c r="P127" s="689">
        <v>41746</v>
      </c>
      <c r="Q127" s="686">
        <v>17306.099999999999</v>
      </c>
      <c r="R127" s="760">
        <f t="shared" si="251"/>
        <v>42110</v>
      </c>
      <c r="S127" s="768">
        <v>15436.65</v>
      </c>
      <c r="T127" s="760">
        <f t="shared" si="251"/>
        <v>42481</v>
      </c>
      <c r="U127" s="768">
        <v>14280.85</v>
      </c>
      <c r="V127" s="829">
        <f t="shared" ref="V127:Z127" si="256">V126+1</f>
        <v>42845</v>
      </c>
      <c r="W127" s="768">
        <v>13180.1</v>
      </c>
      <c r="X127" s="760">
        <f t="shared" ref="X127" si="257">X126+1</f>
        <v>43209</v>
      </c>
      <c r="Y127" s="768">
        <v>15381.72</v>
      </c>
      <c r="Z127" s="760">
        <f t="shared" si="256"/>
        <v>43573</v>
      </c>
      <c r="AA127" s="768">
        <v>14074.45</v>
      </c>
      <c r="AB127" s="760">
        <f t="shared" ref="AB127" si="258">AB126+1</f>
        <v>43937</v>
      </c>
      <c r="AC127" s="774"/>
      <c r="AD127" s="864"/>
      <c r="AJ127" s="751"/>
      <c r="AK127" s="752"/>
      <c r="AL127" s="753"/>
      <c r="AM127" s="762">
        <f t="shared" si="250"/>
        <v>0</v>
      </c>
      <c r="AN127" s="763">
        <f t="shared" si="255"/>
        <v>44301</v>
      </c>
    </row>
    <row r="128" spans="1:40" hidden="1">
      <c r="A128" s="7">
        <v>4</v>
      </c>
      <c r="B128">
        <v>3</v>
      </c>
      <c r="C128" t="s">
        <v>107</v>
      </c>
      <c r="D128" s="697">
        <v>39556</v>
      </c>
      <c r="E128" s="695">
        <v>19678.849999999999</v>
      </c>
      <c r="F128" s="697">
        <v>39920</v>
      </c>
      <c r="G128" s="695">
        <v>17930.16</v>
      </c>
      <c r="H128" s="697">
        <v>40284</v>
      </c>
      <c r="I128" s="695">
        <v>17370.330000000002</v>
      </c>
      <c r="J128" s="683">
        <v>40648</v>
      </c>
      <c r="K128" s="695">
        <v>21069.05</v>
      </c>
      <c r="L128" s="683">
        <v>41019</v>
      </c>
      <c r="M128" s="713">
        <v>16860.3</v>
      </c>
      <c r="N128" s="683">
        <v>41383</v>
      </c>
      <c r="O128" s="691">
        <v>16524.7</v>
      </c>
      <c r="P128" s="689">
        <v>41747</v>
      </c>
      <c r="Q128" s="688">
        <v>25767.15</v>
      </c>
      <c r="R128" s="760">
        <f t="shared" si="251"/>
        <v>42111</v>
      </c>
      <c r="S128" s="768">
        <v>19615.66</v>
      </c>
      <c r="T128" s="760">
        <f t="shared" si="251"/>
        <v>42482</v>
      </c>
      <c r="U128" s="768">
        <v>16092.75</v>
      </c>
      <c r="V128" s="829">
        <f t="shared" ref="V128:Z128" si="259">V127+1</f>
        <v>42846</v>
      </c>
      <c r="W128" s="768">
        <v>22113.759999999998</v>
      </c>
      <c r="X128" s="760">
        <f t="shared" ref="X128" si="260">X127+1</f>
        <v>43210</v>
      </c>
      <c r="Y128" s="768">
        <v>22966.43</v>
      </c>
      <c r="Z128" s="760">
        <f t="shared" si="259"/>
        <v>43574</v>
      </c>
      <c r="AA128" s="768">
        <v>28052.01</v>
      </c>
      <c r="AB128" s="760">
        <f t="shared" ref="AB128" si="261">AB127+1</f>
        <v>43938</v>
      </c>
      <c r="AC128" s="774"/>
      <c r="AD128" s="864"/>
      <c r="AJ128" s="751"/>
      <c r="AK128" s="752"/>
      <c r="AL128" s="753"/>
      <c r="AM128" s="762">
        <f t="shared" si="250"/>
        <v>0</v>
      </c>
      <c r="AN128" s="763">
        <f t="shared" si="255"/>
        <v>44302</v>
      </c>
    </row>
    <row r="129" spans="1:40" hidden="1">
      <c r="A129" s="7">
        <v>4</v>
      </c>
      <c r="B129">
        <v>3</v>
      </c>
      <c r="C129" t="s">
        <v>108</v>
      </c>
      <c r="D129" s="697">
        <v>39557</v>
      </c>
      <c r="E129" s="695">
        <v>20775.14</v>
      </c>
      <c r="F129" s="697">
        <v>39921</v>
      </c>
      <c r="G129" s="695">
        <v>20483.669999999998</v>
      </c>
      <c r="H129" s="697">
        <v>40285</v>
      </c>
      <c r="I129" s="695">
        <v>18135.48</v>
      </c>
      <c r="J129" s="683">
        <v>40649</v>
      </c>
      <c r="K129" s="695">
        <v>17596.349999999999</v>
      </c>
      <c r="L129" s="683">
        <v>41020</v>
      </c>
      <c r="M129" s="707">
        <v>21735.5</v>
      </c>
      <c r="N129" s="683">
        <v>41384</v>
      </c>
      <c r="O129" s="692">
        <v>20432.8</v>
      </c>
      <c r="P129" s="689">
        <v>41748</v>
      </c>
      <c r="Q129" s="693">
        <v>22006.36</v>
      </c>
      <c r="R129" s="760">
        <f t="shared" si="251"/>
        <v>42112</v>
      </c>
      <c r="S129" s="768">
        <v>20708.400000000001</v>
      </c>
      <c r="T129" s="760">
        <f t="shared" si="251"/>
        <v>42483</v>
      </c>
      <c r="U129" s="768">
        <v>21381.3</v>
      </c>
      <c r="V129" s="829">
        <f t="shared" ref="V129:Z129" si="262">V128+1</f>
        <v>42847</v>
      </c>
      <c r="W129" s="768">
        <v>22360.12</v>
      </c>
      <c r="X129" s="760">
        <f t="shared" ref="X129" si="263">X128+1</f>
        <v>43211</v>
      </c>
      <c r="Y129" s="768">
        <v>27117.73</v>
      </c>
      <c r="Z129" s="760">
        <f t="shared" si="262"/>
        <v>43575</v>
      </c>
      <c r="AA129" s="768">
        <v>22586.11</v>
      </c>
      <c r="AB129" s="760">
        <f t="shared" ref="AB129" si="264">AB128+1</f>
        <v>43939</v>
      </c>
      <c r="AC129" s="774"/>
      <c r="AD129" s="864"/>
      <c r="AJ129" s="751"/>
      <c r="AK129" s="752"/>
      <c r="AL129" s="753"/>
      <c r="AM129" s="762">
        <f t="shared" si="250"/>
        <v>0</v>
      </c>
      <c r="AN129" s="763">
        <f t="shared" si="255"/>
        <v>44303</v>
      </c>
    </row>
    <row r="130" spans="1:40" ht="15.75" hidden="1" thickBot="1">
      <c r="A130" s="12">
        <v>4</v>
      </c>
      <c r="B130" s="14">
        <v>3</v>
      </c>
      <c r="C130" s="14" t="s">
        <v>109</v>
      </c>
      <c r="D130" s="697">
        <v>39558</v>
      </c>
      <c r="E130" s="695">
        <v>7377.38</v>
      </c>
      <c r="F130" s="699">
        <v>39922</v>
      </c>
      <c r="G130" s="695">
        <v>6398.36</v>
      </c>
      <c r="H130" s="699">
        <v>40286</v>
      </c>
      <c r="I130" s="695">
        <v>6669.32</v>
      </c>
      <c r="J130" s="700">
        <v>40650</v>
      </c>
      <c r="K130" s="695">
        <v>6407.89</v>
      </c>
      <c r="L130" s="683">
        <v>41021</v>
      </c>
      <c r="M130" s="707">
        <v>7875.4</v>
      </c>
      <c r="N130" s="683">
        <v>41385</v>
      </c>
      <c r="O130" s="690">
        <v>8430.25</v>
      </c>
      <c r="P130" s="689">
        <v>41749</v>
      </c>
      <c r="Q130" s="688">
        <v>15127.31</v>
      </c>
      <c r="R130" s="760">
        <f t="shared" si="251"/>
        <v>42113</v>
      </c>
      <c r="S130" s="769">
        <v>13488.31</v>
      </c>
      <c r="T130" s="760">
        <f t="shared" si="251"/>
        <v>42484</v>
      </c>
      <c r="U130" s="769">
        <v>12819.65</v>
      </c>
      <c r="V130" s="829">
        <f t="shared" ref="V130:Z130" si="265">V129+1</f>
        <v>42848</v>
      </c>
      <c r="W130" s="769">
        <v>13239.8</v>
      </c>
      <c r="X130" s="760">
        <f t="shared" ref="X130" si="266">X129+1</f>
        <v>43212</v>
      </c>
      <c r="Y130" s="769">
        <v>14913.07</v>
      </c>
      <c r="Z130" s="760">
        <f t="shared" si="265"/>
        <v>43576</v>
      </c>
      <c r="AA130" s="769">
        <v>18882.169999999998</v>
      </c>
      <c r="AB130" s="760">
        <f t="shared" ref="AB130" si="267">AB129+1</f>
        <v>43940</v>
      </c>
      <c r="AC130" s="775"/>
      <c r="AD130" s="865"/>
      <c r="AE130" s="203">
        <f>SUM(E124:E130)</f>
        <v>105114.56999999999</v>
      </c>
      <c r="AF130" s="203">
        <f>SUM(G124:G130)</f>
        <v>84683.68</v>
      </c>
      <c r="AG130" s="203">
        <f>SUM(I124:I130)</f>
        <v>92010.169999999984</v>
      </c>
      <c r="AH130" s="203">
        <f>SUM(K124:K130)</f>
        <v>92397.840000000011</v>
      </c>
      <c r="AI130" s="203">
        <f>SUM(M124:M130)</f>
        <v>104184.29999999999</v>
      </c>
      <c r="AJ130" s="751"/>
      <c r="AK130" s="752"/>
      <c r="AL130" s="754"/>
      <c r="AM130" s="762">
        <f t="shared" si="250"/>
        <v>0</v>
      </c>
      <c r="AN130" s="763">
        <f t="shared" si="255"/>
        <v>44304</v>
      </c>
    </row>
    <row r="131" spans="1:40" s="428" customFormat="1" ht="15.75" hidden="1" thickBot="1">
      <c r="A131" s="486"/>
      <c r="C131" s="809" t="s">
        <v>282</v>
      </c>
      <c r="D131" s="810"/>
      <c r="E131" s="811"/>
      <c r="F131" s="810"/>
      <c r="G131" s="811"/>
      <c r="H131" s="810"/>
      <c r="I131" s="811"/>
      <c r="J131" s="812"/>
      <c r="K131" s="813"/>
      <c r="L131" s="812"/>
      <c r="M131" s="813"/>
      <c r="N131" s="812"/>
      <c r="O131" s="814">
        <f>SUM(O124:O130)</f>
        <v>98566.25</v>
      </c>
      <c r="P131" s="812"/>
      <c r="Q131" s="814">
        <f>SUM(Q124:Q130)</f>
        <v>112442.61</v>
      </c>
      <c r="R131" s="815"/>
      <c r="S131" s="816">
        <f>SUM(S124:S130)</f>
        <v>105568.89000000001</v>
      </c>
      <c r="T131" s="815"/>
      <c r="U131" s="816">
        <f>SUM(U124:U130)</f>
        <v>114993.3</v>
      </c>
      <c r="V131" s="815"/>
      <c r="W131" s="816">
        <f>SUM(W124:W130)</f>
        <v>116660.31</v>
      </c>
      <c r="X131" s="815"/>
      <c r="Y131" s="816">
        <f>SUM(Y124:Y130)</f>
        <v>127805.41999999998</v>
      </c>
      <c r="Z131" s="815"/>
      <c r="AA131" s="816">
        <f>SUM(AA124:AA130)</f>
        <v>125457.84</v>
      </c>
      <c r="AB131" s="815"/>
      <c r="AC131" s="816">
        <f>SUM(AC124:AC130)</f>
        <v>0</v>
      </c>
      <c r="AD131" s="758"/>
      <c r="AE131" s="822"/>
      <c r="AF131" s="822"/>
      <c r="AG131" s="822"/>
      <c r="AH131" s="822"/>
      <c r="AI131" s="822"/>
      <c r="AJ131" s="820">
        <f>SUM(AJ124:AJ130)</f>
        <v>0</v>
      </c>
      <c r="AK131" s="823">
        <f>SUM(AK124:AK130)</f>
        <v>0</v>
      </c>
      <c r="AL131" s="823">
        <f>SUM(AL124:AL130)</f>
        <v>0</v>
      </c>
      <c r="AM131" s="821">
        <f>SUM(AM124:AM130)</f>
        <v>0</v>
      </c>
    </row>
    <row r="132" spans="1:40" ht="15.75" hidden="1" thickBot="1">
      <c r="A132" s="5">
        <v>4</v>
      </c>
      <c r="B132" s="16">
        <v>4</v>
      </c>
      <c r="C132" s="16" t="s">
        <v>103</v>
      </c>
      <c r="D132" s="699">
        <v>39559</v>
      </c>
      <c r="E132" s="695">
        <v>9774.43</v>
      </c>
      <c r="F132" s="694">
        <v>39923</v>
      </c>
      <c r="G132" s="695">
        <v>9286.15</v>
      </c>
      <c r="H132" s="694">
        <v>40287</v>
      </c>
      <c r="I132" s="695">
        <v>7819.94</v>
      </c>
      <c r="J132" s="701">
        <v>40651</v>
      </c>
      <c r="K132" s="695">
        <v>7675.02</v>
      </c>
      <c r="L132" s="683">
        <v>41022</v>
      </c>
      <c r="M132" s="707">
        <v>7875.4</v>
      </c>
      <c r="N132" s="683">
        <v>41386</v>
      </c>
      <c r="O132" s="690">
        <v>7686.5</v>
      </c>
      <c r="P132" s="689">
        <v>41750</v>
      </c>
      <c r="Q132" s="686">
        <v>6235.35</v>
      </c>
      <c r="R132" s="759">
        <f>R130+1</f>
        <v>42114</v>
      </c>
      <c r="S132" s="767">
        <v>7341.51</v>
      </c>
      <c r="T132" s="759">
        <f>T130+1</f>
        <v>42485</v>
      </c>
      <c r="U132" s="767">
        <v>8991.51</v>
      </c>
      <c r="V132" s="634">
        <f>V130+1</f>
        <v>42849</v>
      </c>
      <c r="W132" s="767">
        <v>7634.31</v>
      </c>
      <c r="X132" s="759">
        <f>X130+1</f>
        <v>43213</v>
      </c>
      <c r="Y132" s="767">
        <v>11932.58</v>
      </c>
      <c r="Z132" s="759">
        <f>Z130+1</f>
        <v>43577</v>
      </c>
      <c r="AA132" s="767">
        <v>8783.6200000000008</v>
      </c>
      <c r="AB132" s="759">
        <f>AB130+1</f>
        <v>43941</v>
      </c>
      <c r="AC132" s="772"/>
      <c r="AD132" s="863" t="s">
        <v>126</v>
      </c>
      <c r="AJ132" s="751"/>
      <c r="AK132" s="752"/>
      <c r="AL132" s="752"/>
      <c r="AM132" s="762">
        <f t="shared" ref="AM132:AM138" si="268">SUM(AJ132:AL132)</f>
        <v>0</v>
      </c>
      <c r="AN132" s="763">
        <f>AN130+1</f>
        <v>44305</v>
      </c>
    </row>
    <row r="133" spans="1:40" hidden="1">
      <c r="A133" s="7">
        <v>4</v>
      </c>
      <c r="B133">
        <v>4</v>
      </c>
      <c r="C133" t="s">
        <v>104</v>
      </c>
      <c r="D133" s="694">
        <v>39560</v>
      </c>
      <c r="E133" s="695">
        <v>15481.39</v>
      </c>
      <c r="F133" s="697">
        <v>39924</v>
      </c>
      <c r="G133" s="695">
        <v>12165.13</v>
      </c>
      <c r="H133" s="697">
        <v>40288</v>
      </c>
      <c r="I133" s="695">
        <v>11803.15</v>
      </c>
      <c r="J133" s="683">
        <v>40652</v>
      </c>
      <c r="K133" s="695">
        <v>10344.700000000001</v>
      </c>
      <c r="L133" s="683">
        <v>41023</v>
      </c>
      <c r="M133" s="707">
        <v>12200.65</v>
      </c>
      <c r="N133" s="683">
        <v>41387</v>
      </c>
      <c r="O133" s="690">
        <v>9819.26</v>
      </c>
      <c r="P133" s="689">
        <v>41751</v>
      </c>
      <c r="Q133" s="686">
        <v>8919.4599999999991</v>
      </c>
      <c r="R133" s="760">
        <f>R132+1</f>
        <v>42115</v>
      </c>
      <c r="S133" s="768">
        <v>12924.01</v>
      </c>
      <c r="T133" s="760">
        <f>T132+1</f>
        <v>42486</v>
      </c>
      <c r="U133" s="768">
        <v>17348.25</v>
      </c>
      <c r="V133" s="829">
        <f>V132+1</f>
        <v>42850</v>
      </c>
      <c r="W133" s="837">
        <v>14384.3</v>
      </c>
      <c r="X133" s="760">
        <f>X132+1</f>
        <v>43214</v>
      </c>
      <c r="Y133" s="837">
        <v>11678.78</v>
      </c>
      <c r="Z133" s="760">
        <f>Z132+1</f>
        <v>43578</v>
      </c>
      <c r="AA133" s="837">
        <v>15962.97</v>
      </c>
      <c r="AB133" s="760">
        <f>AB132+1</f>
        <v>43942</v>
      </c>
      <c r="AC133" s="818"/>
      <c r="AD133" s="864"/>
      <c r="AJ133" s="751"/>
      <c r="AK133" s="752"/>
      <c r="AL133" s="753"/>
      <c r="AM133" s="762">
        <f t="shared" si="268"/>
        <v>0</v>
      </c>
      <c r="AN133" s="763">
        <f>AN132+1</f>
        <v>44306</v>
      </c>
    </row>
    <row r="134" spans="1:40" hidden="1">
      <c r="A134" s="7">
        <v>4</v>
      </c>
      <c r="B134">
        <v>4</v>
      </c>
      <c r="C134" t="s">
        <v>105</v>
      </c>
      <c r="D134" s="697">
        <v>39561</v>
      </c>
      <c r="E134" s="695">
        <v>17815.240000000002</v>
      </c>
      <c r="F134" s="697">
        <v>39925</v>
      </c>
      <c r="G134" s="695">
        <v>13112.9</v>
      </c>
      <c r="H134" s="697">
        <v>40289</v>
      </c>
      <c r="I134" s="695">
        <v>13271.12</v>
      </c>
      <c r="J134" s="683">
        <v>40653</v>
      </c>
      <c r="K134" s="695">
        <v>11001.8</v>
      </c>
      <c r="L134" s="683">
        <v>41024</v>
      </c>
      <c r="M134" s="707">
        <v>13924.25</v>
      </c>
      <c r="N134" s="683">
        <v>41388</v>
      </c>
      <c r="O134" s="690">
        <v>13814.29</v>
      </c>
      <c r="P134" s="689">
        <v>41752</v>
      </c>
      <c r="Q134" s="686">
        <v>13646.2</v>
      </c>
      <c r="R134" s="760">
        <f t="shared" ref="R134:T138" si="269">R133+1</f>
        <v>42116</v>
      </c>
      <c r="S134" s="768">
        <v>13340.9</v>
      </c>
      <c r="T134" s="760">
        <f t="shared" si="269"/>
        <v>42487</v>
      </c>
      <c r="U134" s="768">
        <v>13418.91</v>
      </c>
      <c r="V134" s="829">
        <f t="shared" ref="V134:Z134" si="270">V133+1</f>
        <v>42851</v>
      </c>
      <c r="W134" s="768">
        <v>14616.2</v>
      </c>
      <c r="X134" s="760">
        <f t="shared" ref="X134" si="271">X133+1</f>
        <v>43215</v>
      </c>
      <c r="Y134" s="768">
        <v>12326.87</v>
      </c>
      <c r="Z134" s="760">
        <f t="shared" si="270"/>
        <v>43579</v>
      </c>
      <c r="AA134" s="768">
        <v>16247.75</v>
      </c>
      <c r="AB134" s="760">
        <f t="shared" ref="AB134" si="272">AB133+1</f>
        <v>43943</v>
      </c>
      <c r="AC134" s="774"/>
      <c r="AD134" s="864"/>
      <c r="AJ134" s="751"/>
      <c r="AK134" s="752"/>
      <c r="AL134" s="753"/>
      <c r="AM134" s="762">
        <f t="shared" si="268"/>
        <v>0</v>
      </c>
      <c r="AN134" s="763">
        <f t="shared" ref="AN134:AN138" si="273">AN133+1</f>
        <v>44307</v>
      </c>
    </row>
    <row r="135" spans="1:40" hidden="1">
      <c r="A135" s="7">
        <v>4</v>
      </c>
      <c r="B135">
        <v>4</v>
      </c>
      <c r="C135" t="s">
        <v>106</v>
      </c>
      <c r="D135" s="697">
        <v>39562</v>
      </c>
      <c r="E135" s="695">
        <v>17288.02</v>
      </c>
      <c r="F135" s="697">
        <v>39926</v>
      </c>
      <c r="G135" s="695">
        <v>12941.24</v>
      </c>
      <c r="H135" s="697">
        <v>40290</v>
      </c>
      <c r="I135" s="695">
        <v>14212.62</v>
      </c>
      <c r="J135" s="683">
        <v>40654</v>
      </c>
      <c r="K135" s="695">
        <v>10167.5</v>
      </c>
      <c r="L135" s="683">
        <v>41025</v>
      </c>
      <c r="M135" s="707">
        <v>16634.7</v>
      </c>
      <c r="N135" s="683">
        <v>41389</v>
      </c>
      <c r="O135" s="690">
        <v>15393.5</v>
      </c>
      <c r="P135" s="689">
        <v>41753</v>
      </c>
      <c r="Q135" s="686">
        <v>14623.16</v>
      </c>
      <c r="R135" s="760">
        <f t="shared" si="269"/>
        <v>42117</v>
      </c>
      <c r="S135" s="768">
        <v>13917.81</v>
      </c>
      <c r="T135" s="760">
        <f t="shared" si="269"/>
        <v>42488</v>
      </c>
      <c r="U135" s="768">
        <v>17290.97</v>
      </c>
      <c r="V135" s="829">
        <f t="shared" ref="V135:Z135" si="274">V134+1</f>
        <v>42852</v>
      </c>
      <c r="W135" s="768">
        <v>23066.400000000001</v>
      </c>
      <c r="X135" s="760">
        <f t="shared" ref="X135" si="275">X134+1</f>
        <v>43216</v>
      </c>
      <c r="Y135" s="768">
        <v>13708.72</v>
      </c>
      <c r="Z135" s="760">
        <f t="shared" si="274"/>
        <v>43580</v>
      </c>
      <c r="AA135" s="768">
        <v>13980.95</v>
      </c>
      <c r="AB135" s="760">
        <f t="shared" ref="AB135" si="276">AB134+1</f>
        <v>43944</v>
      </c>
      <c r="AC135" s="774"/>
      <c r="AD135" s="864"/>
      <c r="AJ135" s="751"/>
      <c r="AK135" s="752"/>
      <c r="AL135" s="753"/>
      <c r="AM135" s="762">
        <f t="shared" si="268"/>
        <v>0</v>
      </c>
      <c r="AN135" s="763">
        <f t="shared" si="273"/>
        <v>44308</v>
      </c>
    </row>
    <row r="136" spans="1:40" hidden="1">
      <c r="A136" s="7">
        <v>4</v>
      </c>
      <c r="B136">
        <v>4</v>
      </c>
      <c r="C136" t="s">
        <v>107</v>
      </c>
      <c r="D136" s="697">
        <v>39563</v>
      </c>
      <c r="E136" s="695">
        <v>24248.79</v>
      </c>
      <c r="F136" s="697">
        <v>39927</v>
      </c>
      <c r="G136" s="695">
        <v>19291.810000000001</v>
      </c>
      <c r="H136" s="697">
        <v>40291</v>
      </c>
      <c r="I136" s="695">
        <v>15873.16</v>
      </c>
      <c r="J136" s="683">
        <v>40655</v>
      </c>
      <c r="K136" s="695">
        <v>25883.11</v>
      </c>
      <c r="L136" s="683">
        <v>41026</v>
      </c>
      <c r="M136" s="707">
        <v>19671.25</v>
      </c>
      <c r="N136" s="683">
        <v>41390</v>
      </c>
      <c r="O136" s="690">
        <v>18598.77</v>
      </c>
      <c r="P136" s="689">
        <v>41754</v>
      </c>
      <c r="Q136" s="686">
        <v>24273.599999999999</v>
      </c>
      <c r="R136" s="760">
        <f t="shared" si="269"/>
        <v>42118</v>
      </c>
      <c r="S136" s="768">
        <v>20010.599999999999</v>
      </c>
      <c r="T136" s="760">
        <f t="shared" si="269"/>
        <v>42489</v>
      </c>
      <c r="U136" s="768">
        <v>21633.9</v>
      </c>
      <c r="V136" s="829">
        <f t="shared" ref="V136:Z136" si="277">V135+1</f>
        <v>42853</v>
      </c>
      <c r="W136" s="768">
        <v>21825.9</v>
      </c>
      <c r="X136" s="760">
        <f t="shared" ref="X136" si="278">X135+1</f>
        <v>43217</v>
      </c>
      <c r="Y136" s="768">
        <v>19505.400000000001</v>
      </c>
      <c r="Z136" s="760">
        <f t="shared" si="277"/>
        <v>43581</v>
      </c>
      <c r="AA136" s="768">
        <v>21859.46</v>
      </c>
      <c r="AB136" s="760">
        <f t="shared" ref="AB136" si="279">AB135+1</f>
        <v>43945</v>
      </c>
      <c r="AC136" s="774"/>
      <c r="AD136" s="864"/>
      <c r="AJ136" s="751"/>
      <c r="AK136" s="752"/>
      <c r="AL136" s="753"/>
      <c r="AM136" s="762">
        <f t="shared" si="268"/>
        <v>0</v>
      </c>
      <c r="AN136" s="763">
        <f t="shared" si="273"/>
        <v>44309</v>
      </c>
    </row>
    <row r="137" spans="1:40" hidden="1">
      <c r="A137" s="7">
        <v>4</v>
      </c>
      <c r="B137">
        <v>4</v>
      </c>
      <c r="C137" t="s">
        <v>108</v>
      </c>
      <c r="D137" s="697">
        <v>39564</v>
      </c>
      <c r="E137" s="695">
        <v>26830.54</v>
      </c>
      <c r="F137" s="697">
        <v>39928</v>
      </c>
      <c r="G137" s="695">
        <v>20670.48</v>
      </c>
      <c r="H137" s="697">
        <v>40292</v>
      </c>
      <c r="I137" s="695">
        <v>20083.990000000002</v>
      </c>
      <c r="J137" s="683">
        <v>40656</v>
      </c>
      <c r="K137" s="695">
        <v>12790.6</v>
      </c>
      <c r="L137" s="683">
        <v>41027</v>
      </c>
      <c r="M137" s="707">
        <v>25496.75</v>
      </c>
      <c r="N137" s="683">
        <v>41391</v>
      </c>
      <c r="O137" s="690">
        <v>24107.5</v>
      </c>
      <c r="P137" s="689">
        <v>41755</v>
      </c>
      <c r="Q137" s="686">
        <v>23646.86</v>
      </c>
      <c r="R137" s="760">
        <f t="shared" si="269"/>
        <v>42119</v>
      </c>
      <c r="S137" s="768">
        <v>23547.26</v>
      </c>
      <c r="T137" s="760">
        <f t="shared" si="269"/>
        <v>42490</v>
      </c>
      <c r="U137" s="768">
        <v>25649.56</v>
      </c>
      <c r="V137" s="829">
        <f t="shared" ref="V137:Z137" si="280">V136+1</f>
        <v>42854</v>
      </c>
      <c r="W137" s="768">
        <v>25864.36</v>
      </c>
      <c r="X137" s="760">
        <f t="shared" ref="X137" si="281">X136+1</f>
        <v>43218</v>
      </c>
      <c r="Y137" s="768">
        <v>24346.31</v>
      </c>
      <c r="Z137" s="760">
        <f t="shared" si="280"/>
        <v>43582</v>
      </c>
      <c r="AA137" s="768">
        <v>26909.55</v>
      </c>
      <c r="AB137" s="760">
        <f t="shared" ref="AB137" si="282">AB136+1</f>
        <v>43946</v>
      </c>
      <c r="AC137" s="774"/>
      <c r="AD137" s="864"/>
      <c r="AJ137" s="751"/>
      <c r="AK137" s="752"/>
      <c r="AL137" s="753"/>
      <c r="AM137" s="762">
        <f t="shared" si="268"/>
        <v>0</v>
      </c>
      <c r="AN137" s="763">
        <f t="shared" si="273"/>
        <v>44310</v>
      </c>
    </row>
    <row r="138" spans="1:40" ht="15.75" hidden="1" thickBot="1">
      <c r="A138" s="7">
        <v>4</v>
      </c>
      <c r="B138">
        <v>4</v>
      </c>
      <c r="C138" t="s">
        <v>109</v>
      </c>
      <c r="D138" s="697">
        <v>39565</v>
      </c>
      <c r="E138" s="695">
        <v>9286.67</v>
      </c>
      <c r="F138" s="708">
        <v>39929</v>
      </c>
      <c r="G138" s="695">
        <v>6171.38</v>
      </c>
      <c r="H138" s="708">
        <v>40293</v>
      </c>
      <c r="I138" s="695">
        <v>5172.8599999999997</v>
      </c>
      <c r="J138" s="709">
        <v>40657</v>
      </c>
      <c r="K138" s="695">
        <v>6414.15</v>
      </c>
      <c r="L138" s="683">
        <v>41028</v>
      </c>
      <c r="M138" s="707">
        <v>7508.3</v>
      </c>
      <c r="N138" s="683">
        <v>41392</v>
      </c>
      <c r="O138" s="690">
        <v>9508.5499999999993</v>
      </c>
      <c r="P138" s="689">
        <v>41756</v>
      </c>
      <c r="Q138" s="686">
        <v>11566.75</v>
      </c>
      <c r="R138" s="760">
        <f t="shared" si="269"/>
        <v>42120</v>
      </c>
      <c r="S138" s="769">
        <v>12357.65</v>
      </c>
      <c r="T138" s="760">
        <f t="shared" si="269"/>
        <v>42491</v>
      </c>
      <c r="U138" s="769">
        <v>18217.349999999999</v>
      </c>
      <c r="V138" s="829">
        <f t="shared" ref="V138:Z138" si="283">V137+1</f>
        <v>42855</v>
      </c>
      <c r="W138" s="769">
        <v>13384.55</v>
      </c>
      <c r="X138" s="760">
        <f t="shared" ref="X138" si="284">X137+1</f>
        <v>43219</v>
      </c>
      <c r="Y138" s="769">
        <v>12980.27</v>
      </c>
      <c r="Z138" s="760">
        <f t="shared" si="283"/>
        <v>43583</v>
      </c>
      <c r="AA138" s="769">
        <v>14487.11</v>
      </c>
      <c r="AB138" s="760">
        <f t="shared" ref="AB138" si="285">AB137+1</f>
        <v>43947</v>
      </c>
      <c r="AC138" s="775"/>
      <c r="AD138" s="866"/>
      <c r="AE138" s="203">
        <f>SUM(E132:E138)</f>
        <v>120725.08</v>
      </c>
      <c r="AF138" s="203">
        <f>SUM(G132:G138)</f>
        <v>93639.09</v>
      </c>
      <c r="AG138" s="203">
        <f>SUM(I132:I138)</f>
        <v>88236.840000000011</v>
      </c>
      <c r="AH138" s="203">
        <f>SUM(K132:K138)</f>
        <v>84276.88</v>
      </c>
      <c r="AI138" s="203">
        <f>SUM(M132:M138)</f>
        <v>103311.3</v>
      </c>
      <c r="AJ138" s="751"/>
      <c r="AK138" s="752"/>
      <c r="AL138" s="754"/>
      <c r="AM138" s="762">
        <f t="shared" si="268"/>
        <v>0</v>
      </c>
      <c r="AN138" s="763">
        <f t="shared" si="273"/>
        <v>44311</v>
      </c>
    </row>
    <row r="139" spans="1:40" s="428" customFormat="1" ht="15.75" hidden="1" thickBot="1">
      <c r="A139" s="486"/>
      <c r="C139" s="809" t="s">
        <v>282</v>
      </c>
      <c r="D139" s="810"/>
      <c r="E139" s="811"/>
      <c r="F139" s="810"/>
      <c r="G139" s="811"/>
      <c r="H139" s="810"/>
      <c r="I139" s="811"/>
      <c r="J139" s="812"/>
      <c r="K139" s="813"/>
      <c r="L139" s="812"/>
      <c r="M139" s="813"/>
      <c r="N139" s="812"/>
      <c r="O139" s="814">
        <f>SUM(O132:O138)</f>
        <v>98928.37000000001</v>
      </c>
      <c r="P139" s="812"/>
      <c r="Q139" s="814">
        <f>SUM(Q132:Q138)</f>
        <v>102911.37999999999</v>
      </c>
      <c r="R139" s="815"/>
      <c r="S139" s="816">
        <f>SUM(S132:S138)</f>
        <v>103439.73999999998</v>
      </c>
      <c r="T139" s="815"/>
      <c r="U139" s="816">
        <f>SUM(U132:U138)</f>
        <v>122550.45000000001</v>
      </c>
      <c r="V139" s="815"/>
      <c r="W139" s="816">
        <f>SUM(W132:W138)</f>
        <v>120776.02</v>
      </c>
      <c r="X139" s="815"/>
      <c r="Y139" s="816">
        <f>SUM(Y132:Y138)</f>
        <v>106478.93000000001</v>
      </c>
      <c r="Z139" s="815"/>
      <c r="AA139" s="816">
        <f>SUM(AA132:AA138)</f>
        <v>118231.41</v>
      </c>
      <c r="AB139" s="815"/>
      <c r="AC139" s="816">
        <f>SUM(AC132:AC138)</f>
        <v>0</v>
      </c>
      <c r="AD139" s="819"/>
      <c r="AE139" s="822"/>
      <c r="AF139" s="822"/>
      <c r="AG139" s="822"/>
      <c r="AH139" s="822"/>
      <c r="AI139" s="822"/>
      <c r="AJ139" s="820">
        <f>SUM(AJ132:AJ138)</f>
        <v>0</v>
      </c>
      <c r="AK139" s="823">
        <f>SUM(AK132:AK138)</f>
        <v>0</v>
      </c>
      <c r="AL139" s="823">
        <f>SUM(AL132:AL138)</f>
        <v>0</v>
      </c>
      <c r="AM139" s="821">
        <f>SUM(AM132:AM138)</f>
        <v>0</v>
      </c>
    </row>
    <row r="140" spans="1:40" ht="15.75" hidden="1" thickBot="1">
      <c r="A140" s="5">
        <v>5</v>
      </c>
      <c r="B140" s="16">
        <v>1</v>
      </c>
      <c r="C140" s="16" t="s">
        <v>103</v>
      </c>
      <c r="D140" s="708">
        <v>39566</v>
      </c>
      <c r="E140" s="695">
        <v>9652.06</v>
      </c>
      <c r="F140" s="694">
        <v>39930</v>
      </c>
      <c r="G140" s="695">
        <v>8579.16</v>
      </c>
      <c r="H140" s="694">
        <v>40294</v>
      </c>
      <c r="I140" s="695">
        <v>6870.64</v>
      </c>
      <c r="J140" s="701">
        <v>40658</v>
      </c>
      <c r="K140" s="695">
        <v>7984.37</v>
      </c>
      <c r="L140" s="683">
        <v>41029</v>
      </c>
      <c r="M140" s="707">
        <v>7038.5</v>
      </c>
      <c r="N140" s="683">
        <v>41393</v>
      </c>
      <c r="O140" s="690">
        <v>8079.55</v>
      </c>
      <c r="P140" s="689">
        <v>41757</v>
      </c>
      <c r="Q140" s="686">
        <v>11407.05</v>
      </c>
      <c r="R140" s="635">
        <f>R138+1</f>
        <v>42121</v>
      </c>
      <c r="S140" s="717">
        <v>8298.6</v>
      </c>
      <c r="T140" s="635">
        <f>T138+1</f>
        <v>42492</v>
      </c>
      <c r="U140" s="717">
        <v>9948.86</v>
      </c>
      <c r="V140" s="635">
        <f>V138+1</f>
        <v>42856</v>
      </c>
      <c r="W140" s="767">
        <v>7991.85</v>
      </c>
      <c r="X140" s="635">
        <f>X138+1</f>
        <v>43220</v>
      </c>
      <c r="Y140" s="767">
        <v>12238.82</v>
      </c>
      <c r="Z140" s="635">
        <f>Z138+1</f>
        <v>43584</v>
      </c>
      <c r="AA140" s="767">
        <v>10683.77</v>
      </c>
      <c r="AB140" s="635">
        <f>AB138+1</f>
        <v>43948</v>
      </c>
      <c r="AC140" s="772"/>
      <c r="AD140" s="863" t="s">
        <v>127</v>
      </c>
      <c r="AJ140" s="751"/>
      <c r="AK140" s="752"/>
      <c r="AL140" s="752"/>
      <c r="AM140" s="762">
        <f t="shared" ref="AM140:AM146" si="286">SUM(AJ140:AL140)</f>
        <v>0</v>
      </c>
      <c r="AN140" s="763">
        <f>AN138+1</f>
        <v>44312</v>
      </c>
    </row>
    <row r="141" spans="1:40" hidden="1">
      <c r="A141" s="7">
        <v>5</v>
      </c>
      <c r="B141">
        <v>1</v>
      </c>
      <c r="C141" t="s">
        <v>104</v>
      </c>
      <c r="D141" s="694">
        <v>39567</v>
      </c>
      <c r="E141" s="695">
        <v>12173</v>
      </c>
      <c r="F141" s="697">
        <v>39931</v>
      </c>
      <c r="G141" s="695">
        <v>9667.91</v>
      </c>
      <c r="H141" s="697">
        <v>40295</v>
      </c>
      <c r="I141" s="695">
        <v>9047.49</v>
      </c>
      <c r="J141" s="683">
        <v>40659</v>
      </c>
      <c r="K141" s="695">
        <v>11638.81</v>
      </c>
      <c r="L141" s="683">
        <v>41030</v>
      </c>
      <c r="M141" s="707">
        <v>10255.6</v>
      </c>
      <c r="N141" s="683">
        <v>41394</v>
      </c>
      <c r="O141" s="690">
        <v>11407.85</v>
      </c>
      <c r="P141" s="689">
        <v>41758</v>
      </c>
      <c r="Q141" s="686">
        <v>21963.02</v>
      </c>
      <c r="R141" s="689">
        <f>R140+1</f>
        <v>42122</v>
      </c>
      <c r="S141" s="719">
        <v>21692.1</v>
      </c>
      <c r="T141" s="689">
        <f>T140+1</f>
        <v>42493</v>
      </c>
      <c r="U141" s="719">
        <v>11262.05</v>
      </c>
      <c r="V141" s="689">
        <f>V140+1</f>
        <v>42857</v>
      </c>
      <c r="W141" s="837">
        <v>11154.15</v>
      </c>
      <c r="X141" s="689">
        <f>X140+1</f>
        <v>43221</v>
      </c>
      <c r="Y141" s="837">
        <v>13760.29</v>
      </c>
      <c r="Z141" s="689">
        <f>Z140+1</f>
        <v>43585</v>
      </c>
      <c r="AA141" s="837">
        <v>10647.67</v>
      </c>
      <c r="AB141" s="689">
        <f>AB140+1</f>
        <v>43949</v>
      </c>
      <c r="AC141" s="818"/>
      <c r="AD141" s="864"/>
      <c r="AJ141" s="751"/>
      <c r="AK141" s="752"/>
      <c r="AL141" s="753"/>
      <c r="AM141" s="762">
        <f t="shared" si="286"/>
        <v>0</v>
      </c>
      <c r="AN141" s="763">
        <f>AN140+1</f>
        <v>44313</v>
      </c>
    </row>
    <row r="142" spans="1:40" hidden="1">
      <c r="A142" s="7">
        <v>5</v>
      </c>
      <c r="B142">
        <v>1</v>
      </c>
      <c r="C142" t="s">
        <v>105</v>
      </c>
      <c r="D142" s="697">
        <v>39568</v>
      </c>
      <c r="E142" s="695">
        <v>14816.66</v>
      </c>
      <c r="F142" s="697">
        <v>39932</v>
      </c>
      <c r="G142" s="695">
        <v>12507.22</v>
      </c>
      <c r="H142" s="697">
        <v>40296</v>
      </c>
      <c r="I142" s="695">
        <v>11373.37</v>
      </c>
      <c r="J142" s="683">
        <v>40660</v>
      </c>
      <c r="K142" s="695">
        <v>12638.65</v>
      </c>
      <c r="L142" s="683">
        <v>41031</v>
      </c>
      <c r="M142" s="707">
        <v>14324.56</v>
      </c>
      <c r="N142" s="683">
        <v>41395</v>
      </c>
      <c r="O142" s="690">
        <v>13940.7</v>
      </c>
      <c r="P142" s="689">
        <v>41759</v>
      </c>
      <c r="Q142" s="686">
        <v>12906.15</v>
      </c>
      <c r="R142" s="689">
        <f t="shared" ref="R142:T146" si="287">R141+1</f>
        <v>42123</v>
      </c>
      <c r="S142" s="719">
        <v>15335.8</v>
      </c>
      <c r="T142" s="689">
        <f t="shared" si="287"/>
        <v>42494</v>
      </c>
      <c r="U142" s="719">
        <v>13127.76</v>
      </c>
      <c r="V142" s="689">
        <f t="shared" ref="V142:Z142" si="288">V141+1</f>
        <v>42858</v>
      </c>
      <c r="W142" s="768">
        <v>16731.310000000001</v>
      </c>
      <c r="X142" s="689">
        <f t="shared" ref="X142" si="289">X141+1</f>
        <v>43222</v>
      </c>
      <c r="Y142" s="768">
        <v>15889.97</v>
      </c>
      <c r="Z142" s="689">
        <f t="shared" si="288"/>
        <v>43586</v>
      </c>
      <c r="AA142" s="768">
        <v>15639.58</v>
      </c>
      <c r="AB142" s="689">
        <f t="shared" ref="AB142" si="290">AB141+1</f>
        <v>43950</v>
      </c>
      <c r="AC142" s="774"/>
      <c r="AD142" s="864"/>
      <c r="AJ142" s="751"/>
      <c r="AK142" s="752"/>
      <c r="AL142" s="753"/>
      <c r="AM142" s="762">
        <f t="shared" si="286"/>
        <v>0</v>
      </c>
      <c r="AN142" s="763">
        <f t="shared" ref="AN142:AN146" si="291">AN141+1</f>
        <v>44314</v>
      </c>
    </row>
    <row r="143" spans="1:40" hidden="1">
      <c r="A143" s="7">
        <v>5</v>
      </c>
      <c r="B143">
        <v>1</v>
      </c>
      <c r="C143" t="s">
        <v>106</v>
      </c>
      <c r="D143" s="697">
        <v>39569</v>
      </c>
      <c r="E143" s="695">
        <v>19946.52</v>
      </c>
      <c r="F143" s="697">
        <v>39933</v>
      </c>
      <c r="G143" s="695">
        <v>15012.97</v>
      </c>
      <c r="H143" s="697">
        <v>40297</v>
      </c>
      <c r="I143" s="695">
        <v>14333.17</v>
      </c>
      <c r="J143" s="683">
        <v>40661</v>
      </c>
      <c r="K143" s="695">
        <v>16120.85</v>
      </c>
      <c r="L143" s="683">
        <v>41032</v>
      </c>
      <c r="M143" s="707">
        <v>14466.8</v>
      </c>
      <c r="N143" s="683">
        <v>41396</v>
      </c>
      <c r="O143" s="690">
        <v>11555.1</v>
      </c>
      <c r="P143" s="689">
        <v>41760</v>
      </c>
      <c r="Q143" s="686">
        <v>12946.8</v>
      </c>
      <c r="R143" s="689">
        <f t="shared" si="287"/>
        <v>42124</v>
      </c>
      <c r="S143" s="719">
        <v>19625.68</v>
      </c>
      <c r="T143" s="689">
        <f t="shared" si="287"/>
        <v>42495</v>
      </c>
      <c r="U143" s="719">
        <v>19269.05</v>
      </c>
      <c r="V143" s="689">
        <f t="shared" ref="V143:Z143" si="292">V142+1</f>
        <v>42859</v>
      </c>
      <c r="W143" s="768">
        <v>19382.759999999998</v>
      </c>
      <c r="X143" s="689">
        <f t="shared" ref="X143" si="293">X142+1</f>
        <v>43223</v>
      </c>
      <c r="Y143" s="768">
        <v>15062.29</v>
      </c>
      <c r="Z143" s="689">
        <f t="shared" si="292"/>
        <v>43587</v>
      </c>
      <c r="AA143" s="768">
        <v>12593.61</v>
      </c>
      <c r="AB143" s="689">
        <f t="shared" ref="AB143" si="294">AB142+1</f>
        <v>43951</v>
      </c>
      <c r="AC143" s="774"/>
      <c r="AD143" s="864"/>
      <c r="AJ143" s="751"/>
      <c r="AK143" s="752"/>
      <c r="AL143" s="753"/>
      <c r="AM143" s="762">
        <f t="shared" si="286"/>
        <v>0</v>
      </c>
      <c r="AN143" s="763">
        <f t="shared" si="291"/>
        <v>44315</v>
      </c>
    </row>
    <row r="144" spans="1:40" hidden="1">
      <c r="A144" s="7">
        <v>5</v>
      </c>
      <c r="B144">
        <v>1</v>
      </c>
      <c r="C144" t="s">
        <v>107</v>
      </c>
      <c r="D144" s="697">
        <v>39570</v>
      </c>
      <c r="E144" s="695">
        <v>23965.87</v>
      </c>
      <c r="F144" s="697">
        <v>39934</v>
      </c>
      <c r="G144" s="695">
        <v>19123.05</v>
      </c>
      <c r="H144" s="697">
        <v>40298</v>
      </c>
      <c r="I144" s="695">
        <v>18429.060000000001</v>
      </c>
      <c r="J144" s="683">
        <v>40662</v>
      </c>
      <c r="K144" s="695">
        <v>18169.990000000002</v>
      </c>
      <c r="L144" s="683">
        <v>41033</v>
      </c>
      <c r="M144" s="707">
        <v>18206.55</v>
      </c>
      <c r="N144" s="683">
        <v>41397</v>
      </c>
      <c r="O144" s="690">
        <v>17008.8</v>
      </c>
      <c r="P144" s="689">
        <v>41761</v>
      </c>
      <c r="Q144" s="686">
        <v>21136.25</v>
      </c>
      <c r="R144" s="689">
        <f t="shared" si="287"/>
        <v>42125</v>
      </c>
      <c r="S144" s="719">
        <v>21293.47</v>
      </c>
      <c r="T144" s="689">
        <f t="shared" si="287"/>
        <v>42496</v>
      </c>
      <c r="U144" s="719">
        <v>22867.599999999999</v>
      </c>
      <c r="V144" s="689">
        <f t="shared" ref="V144:Z144" si="295">V143+1</f>
        <v>42860</v>
      </c>
      <c r="W144" s="768">
        <v>22072.7</v>
      </c>
      <c r="X144" s="689">
        <f t="shared" ref="X144" si="296">X143+1</f>
        <v>43224</v>
      </c>
      <c r="Y144" s="768">
        <v>22242.54</v>
      </c>
      <c r="Z144" s="689">
        <f t="shared" si="295"/>
        <v>43588</v>
      </c>
      <c r="AA144" s="768">
        <v>20232.38</v>
      </c>
      <c r="AB144" s="689">
        <f t="shared" ref="AB144" si="297">AB143+1</f>
        <v>43952</v>
      </c>
      <c r="AC144" s="774"/>
      <c r="AD144" s="864"/>
      <c r="AJ144" s="751"/>
      <c r="AK144" s="752"/>
      <c r="AL144" s="753"/>
      <c r="AM144" s="762">
        <f t="shared" si="286"/>
        <v>0</v>
      </c>
      <c r="AN144" s="763">
        <f t="shared" si="291"/>
        <v>44316</v>
      </c>
    </row>
    <row r="145" spans="1:40" hidden="1">
      <c r="A145" s="7">
        <v>5</v>
      </c>
      <c r="B145">
        <v>1</v>
      </c>
      <c r="C145" t="s">
        <v>108</v>
      </c>
      <c r="D145" s="697">
        <v>39571</v>
      </c>
      <c r="E145" s="695">
        <v>24588.720000000001</v>
      </c>
      <c r="F145" s="697">
        <v>39935</v>
      </c>
      <c r="G145" s="695">
        <v>20301.79</v>
      </c>
      <c r="H145" s="697">
        <v>40299</v>
      </c>
      <c r="I145" s="695">
        <v>21759.56</v>
      </c>
      <c r="J145" s="683">
        <v>40663</v>
      </c>
      <c r="K145" s="695">
        <v>22164.65</v>
      </c>
      <c r="L145" s="683">
        <v>41034</v>
      </c>
      <c r="M145" s="707">
        <v>26855.85</v>
      </c>
      <c r="N145" s="683">
        <v>41398</v>
      </c>
      <c r="O145" s="690">
        <v>17515.11</v>
      </c>
      <c r="P145" s="689">
        <v>41762</v>
      </c>
      <c r="Q145" s="686">
        <v>20293.75</v>
      </c>
      <c r="R145" s="689">
        <f t="shared" si="287"/>
        <v>42126</v>
      </c>
      <c r="S145" s="719">
        <v>20424.05</v>
      </c>
      <c r="T145" s="689">
        <f t="shared" si="287"/>
        <v>42497</v>
      </c>
      <c r="U145" s="719">
        <v>31837.43</v>
      </c>
      <c r="V145" s="689">
        <f t="shared" ref="V145:Z145" si="298">V144+1</f>
        <v>42861</v>
      </c>
      <c r="W145" s="768">
        <v>26090.41</v>
      </c>
      <c r="X145" s="689">
        <f t="shared" ref="X145" si="299">X144+1</f>
        <v>43225</v>
      </c>
      <c r="Y145" s="768">
        <v>27806.53</v>
      </c>
      <c r="Z145" s="689">
        <f t="shared" si="298"/>
        <v>43589</v>
      </c>
      <c r="AA145" s="768">
        <v>21680.54</v>
      </c>
      <c r="AB145" s="689">
        <f t="shared" ref="AB145" si="300">AB144+1</f>
        <v>43953</v>
      </c>
      <c r="AC145" s="774"/>
      <c r="AD145" s="864"/>
      <c r="AJ145" s="751"/>
      <c r="AK145" s="752"/>
      <c r="AL145" s="753"/>
      <c r="AM145" s="762">
        <f t="shared" si="286"/>
        <v>0</v>
      </c>
      <c r="AN145" s="763">
        <f t="shared" si="291"/>
        <v>44317</v>
      </c>
    </row>
    <row r="146" spans="1:40" ht="15.75" hidden="1" thickBot="1">
      <c r="A146" s="12">
        <v>5</v>
      </c>
      <c r="B146" s="14">
        <v>1</v>
      </c>
      <c r="C146" s="14" t="s">
        <v>109</v>
      </c>
      <c r="D146" s="697">
        <v>39572</v>
      </c>
      <c r="E146" s="695">
        <v>7433.79</v>
      </c>
      <c r="F146" s="699">
        <v>39936</v>
      </c>
      <c r="G146" s="695">
        <v>10775.11</v>
      </c>
      <c r="H146" s="699">
        <v>40300</v>
      </c>
      <c r="I146" s="695">
        <v>8003.76</v>
      </c>
      <c r="J146" s="700">
        <v>40664</v>
      </c>
      <c r="K146" s="695">
        <v>8520.9</v>
      </c>
      <c r="L146" s="683">
        <v>41035</v>
      </c>
      <c r="M146" s="707">
        <v>10184.85</v>
      </c>
      <c r="N146" s="683">
        <v>41399</v>
      </c>
      <c r="O146" s="690">
        <v>9585.66</v>
      </c>
      <c r="P146" s="689">
        <v>41763</v>
      </c>
      <c r="Q146" s="686">
        <v>12218.6</v>
      </c>
      <c r="R146" s="761">
        <f t="shared" si="287"/>
        <v>42127</v>
      </c>
      <c r="S146" s="723">
        <v>12872.96</v>
      </c>
      <c r="T146" s="761">
        <f t="shared" si="287"/>
        <v>42498</v>
      </c>
      <c r="U146" s="723">
        <v>33350.269999999997</v>
      </c>
      <c r="V146" s="761">
        <f t="shared" ref="V146:Z146" si="301">V145+1</f>
        <v>42862</v>
      </c>
      <c r="W146" s="769">
        <v>15936.66</v>
      </c>
      <c r="X146" s="761">
        <f t="shared" ref="X146" si="302">X145+1</f>
        <v>43226</v>
      </c>
      <c r="Y146" s="769">
        <v>16784.490000000002</v>
      </c>
      <c r="Z146" s="761">
        <f t="shared" si="301"/>
        <v>43590</v>
      </c>
      <c r="AA146" s="769">
        <v>14828.46</v>
      </c>
      <c r="AB146" s="761">
        <f t="shared" ref="AB146" si="303">AB145+1</f>
        <v>43954</v>
      </c>
      <c r="AC146" s="775"/>
      <c r="AD146" s="865"/>
      <c r="AE146" s="203">
        <f>SUM(E140:E146)</f>
        <v>112576.62</v>
      </c>
      <c r="AF146" s="203">
        <f>SUM(G140:G146)</f>
        <v>95967.21</v>
      </c>
      <c r="AG146" s="203">
        <f>SUM(I140:I146)</f>
        <v>89817.049999999988</v>
      </c>
      <c r="AH146" s="203">
        <f>SUM(K140:K146)</f>
        <v>97238.22</v>
      </c>
      <c r="AI146" s="203">
        <f>SUM(M140:M146)</f>
        <v>101332.70999999999</v>
      </c>
      <c r="AJ146" s="751"/>
      <c r="AK146" s="752"/>
      <c r="AL146" s="754"/>
      <c r="AM146" s="762">
        <f t="shared" si="286"/>
        <v>0</v>
      </c>
      <c r="AN146" s="763">
        <f t="shared" si="291"/>
        <v>44318</v>
      </c>
    </row>
    <row r="147" spans="1:40" s="428" customFormat="1" ht="15.75" hidden="1" thickBot="1">
      <c r="A147" s="486"/>
      <c r="C147" s="809" t="s">
        <v>282</v>
      </c>
      <c r="D147" s="810"/>
      <c r="E147" s="811"/>
      <c r="F147" s="810"/>
      <c r="G147" s="811"/>
      <c r="H147" s="810"/>
      <c r="I147" s="811"/>
      <c r="J147" s="812"/>
      <c r="K147" s="813"/>
      <c r="L147" s="812"/>
      <c r="M147" s="813"/>
      <c r="N147" s="812"/>
      <c r="O147" s="814">
        <f>SUM(O140:O146)</f>
        <v>89092.77</v>
      </c>
      <c r="P147" s="812"/>
      <c r="Q147" s="814">
        <f>SUM(Q140:Q146)</f>
        <v>112871.62000000001</v>
      </c>
      <c r="R147" s="815"/>
      <c r="S147" s="816">
        <f>SUM(S140:S146)</f>
        <v>119542.66</v>
      </c>
      <c r="T147" s="815"/>
      <c r="U147" s="816">
        <f>SUM(U140:U146)</f>
        <v>141663.01999999999</v>
      </c>
      <c r="V147" s="815"/>
      <c r="W147" s="816">
        <f>SUM(W140:W146)</f>
        <v>119359.84</v>
      </c>
      <c r="X147" s="815"/>
      <c r="Y147" s="816">
        <f>SUM(Y140:Y146)</f>
        <v>123784.93000000001</v>
      </c>
      <c r="Z147" s="815"/>
      <c r="AA147" s="816">
        <f>SUM(AA140:AA146)</f>
        <v>106306.01000000001</v>
      </c>
      <c r="AB147" s="815"/>
      <c r="AC147" s="816">
        <f>SUM(AC140:AC146)</f>
        <v>0</v>
      </c>
      <c r="AD147" s="758"/>
      <c r="AE147" s="822"/>
      <c r="AF147" s="822"/>
      <c r="AG147" s="822"/>
      <c r="AH147" s="822"/>
      <c r="AI147" s="822"/>
      <c r="AJ147" s="820">
        <f>SUM(AJ140:AJ146)</f>
        <v>0</v>
      </c>
      <c r="AK147" s="823">
        <f>SUM(AK140:AK146)</f>
        <v>0</v>
      </c>
      <c r="AL147" s="823">
        <f>SUM(AL140:AL146)</f>
        <v>0</v>
      </c>
      <c r="AM147" s="821">
        <f>SUM(AM140:AM146)</f>
        <v>0</v>
      </c>
    </row>
    <row r="148" spans="1:40" ht="15.75" hidden="1" thickBot="1">
      <c r="A148" s="5">
        <v>5</v>
      </c>
      <c r="B148" s="16">
        <v>2</v>
      </c>
      <c r="C148" s="16" t="s">
        <v>103</v>
      </c>
      <c r="D148" s="699">
        <v>39573</v>
      </c>
      <c r="E148" s="695">
        <v>8336.64</v>
      </c>
      <c r="F148" s="694">
        <v>39937</v>
      </c>
      <c r="G148" s="695">
        <v>8182.54</v>
      </c>
      <c r="H148" s="694">
        <v>40301</v>
      </c>
      <c r="I148" s="695">
        <v>6306.36</v>
      </c>
      <c r="J148" s="701">
        <v>40665</v>
      </c>
      <c r="K148" s="695">
        <v>7693.15</v>
      </c>
      <c r="L148" s="683">
        <v>41036</v>
      </c>
      <c r="M148" s="707">
        <v>9899.2999999999993</v>
      </c>
      <c r="N148" s="683">
        <v>41400</v>
      </c>
      <c r="O148" s="690">
        <v>9825.2000000000007</v>
      </c>
      <c r="P148" s="689">
        <v>41764</v>
      </c>
      <c r="Q148" s="686">
        <v>9434.25</v>
      </c>
      <c r="R148" s="635">
        <f>R146+1</f>
        <v>42128</v>
      </c>
      <c r="S148" s="717">
        <v>9260.2000000000007</v>
      </c>
      <c r="T148" s="635">
        <f>T146+1</f>
        <v>42499</v>
      </c>
      <c r="U148" s="717">
        <v>10534.2</v>
      </c>
      <c r="V148" s="635">
        <f>V146+1</f>
        <v>42863</v>
      </c>
      <c r="W148" s="767">
        <v>11296.31</v>
      </c>
      <c r="X148" s="635">
        <f>X146+1</f>
        <v>43227</v>
      </c>
      <c r="Y148" s="767">
        <v>10010.39</v>
      </c>
      <c r="Z148" s="635">
        <f>Z146+1</f>
        <v>43591</v>
      </c>
      <c r="AA148" s="767">
        <v>8460.9</v>
      </c>
      <c r="AB148" s="635">
        <f>AB146+1</f>
        <v>43955</v>
      </c>
      <c r="AC148" s="772"/>
      <c r="AD148" s="863" t="s">
        <v>128</v>
      </c>
      <c r="AJ148" s="751"/>
      <c r="AK148" s="752"/>
      <c r="AL148" s="752"/>
      <c r="AM148" s="762">
        <f t="shared" ref="AM148:AM154" si="304">SUM(AJ148:AL148)</f>
        <v>0</v>
      </c>
      <c r="AN148" s="763">
        <f>AN146+1</f>
        <v>44319</v>
      </c>
    </row>
    <row r="149" spans="1:40" hidden="1">
      <c r="A149" s="7">
        <v>5</v>
      </c>
      <c r="B149">
        <v>2</v>
      </c>
      <c r="C149" t="s">
        <v>104</v>
      </c>
      <c r="D149" s="694">
        <v>39574</v>
      </c>
      <c r="E149" s="695">
        <v>13414.65</v>
      </c>
      <c r="F149" s="697">
        <v>39938</v>
      </c>
      <c r="G149" s="695">
        <v>10501.02</v>
      </c>
      <c r="H149" s="697">
        <v>40302</v>
      </c>
      <c r="I149" s="695">
        <v>11324.86</v>
      </c>
      <c r="J149" s="683">
        <v>40666</v>
      </c>
      <c r="K149" s="695">
        <v>12889.43</v>
      </c>
      <c r="L149" s="683">
        <v>41037</v>
      </c>
      <c r="M149" s="707">
        <v>20974.799999999999</v>
      </c>
      <c r="N149" s="683">
        <v>41401</v>
      </c>
      <c r="O149" s="690">
        <v>16705.560000000001</v>
      </c>
      <c r="P149" s="689">
        <v>41765</v>
      </c>
      <c r="Q149" s="686">
        <v>14625.6</v>
      </c>
      <c r="R149" s="689">
        <f>R148+1</f>
        <v>42129</v>
      </c>
      <c r="S149" s="719">
        <v>10323.31</v>
      </c>
      <c r="T149" s="689">
        <f>T148+1</f>
        <v>42500</v>
      </c>
      <c r="U149" s="719">
        <v>11739.45</v>
      </c>
      <c r="V149" s="689">
        <f>V148+1</f>
        <v>42864</v>
      </c>
      <c r="W149" s="837">
        <v>11209.15</v>
      </c>
      <c r="X149" s="689">
        <f>X148+1</f>
        <v>43228</v>
      </c>
      <c r="Y149" s="837">
        <v>12201.59</v>
      </c>
      <c r="Z149" s="689">
        <f>Z148+1</f>
        <v>43592</v>
      </c>
      <c r="AA149" s="837">
        <v>11212.88</v>
      </c>
      <c r="AB149" s="689">
        <f>AB148+1</f>
        <v>43956</v>
      </c>
      <c r="AC149" s="818"/>
      <c r="AD149" s="864"/>
      <c r="AJ149" s="751"/>
      <c r="AK149" s="752"/>
      <c r="AL149" s="753"/>
      <c r="AM149" s="762">
        <f t="shared" si="304"/>
        <v>0</v>
      </c>
      <c r="AN149" s="763">
        <f>AN148+1</f>
        <v>44320</v>
      </c>
    </row>
    <row r="150" spans="1:40" hidden="1">
      <c r="A150" s="7">
        <v>5</v>
      </c>
      <c r="B150">
        <v>2</v>
      </c>
      <c r="C150" t="s">
        <v>105</v>
      </c>
      <c r="D150" s="697">
        <v>39575</v>
      </c>
      <c r="E150" s="695">
        <v>14757.41</v>
      </c>
      <c r="F150" s="697">
        <v>39939</v>
      </c>
      <c r="G150" s="695">
        <v>11449.34</v>
      </c>
      <c r="H150" s="697">
        <v>40303</v>
      </c>
      <c r="I150" s="695">
        <v>14817.11</v>
      </c>
      <c r="J150" s="683">
        <v>40667</v>
      </c>
      <c r="K150" s="695">
        <v>12657.59</v>
      </c>
      <c r="L150" s="683">
        <v>41038</v>
      </c>
      <c r="M150" s="707">
        <v>14634.4</v>
      </c>
      <c r="N150" s="683">
        <v>41402</v>
      </c>
      <c r="O150" s="690">
        <v>15207.34</v>
      </c>
      <c r="P150" s="689">
        <v>41766</v>
      </c>
      <c r="Q150" s="686">
        <v>14874.7</v>
      </c>
      <c r="R150" s="689">
        <f t="shared" ref="R150:T154" si="305">R149+1</f>
        <v>42130</v>
      </c>
      <c r="S150" s="719">
        <v>12929.21</v>
      </c>
      <c r="T150" s="689">
        <f t="shared" si="305"/>
        <v>42501</v>
      </c>
      <c r="U150" s="719">
        <v>13128</v>
      </c>
      <c r="V150" s="689">
        <f t="shared" ref="V150:Z150" si="306">V149+1</f>
        <v>42865</v>
      </c>
      <c r="W150" s="768">
        <v>14464.56</v>
      </c>
      <c r="X150" s="689">
        <f t="shared" ref="X150" si="307">X149+1</f>
        <v>43229</v>
      </c>
      <c r="Y150" s="768">
        <v>16606.689999999999</v>
      </c>
      <c r="Z150" s="689">
        <f t="shared" si="306"/>
        <v>43593</v>
      </c>
      <c r="AA150" s="768">
        <v>14701.03</v>
      </c>
      <c r="AB150" s="689">
        <f t="shared" ref="AB150" si="308">AB149+1</f>
        <v>43957</v>
      </c>
      <c r="AC150" s="774"/>
      <c r="AD150" s="864"/>
      <c r="AJ150" s="751"/>
      <c r="AK150" s="752"/>
      <c r="AL150" s="753"/>
      <c r="AM150" s="762">
        <f t="shared" si="304"/>
        <v>0</v>
      </c>
      <c r="AN150" s="763">
        <f t="shared" ref="AN150:AN154" si="309">AN149+1</f>
        <v>44321</v>
      </c>
    </row>
    <row r="151" spans="1:40" hidden="1">
      <c r="A151" s="7">
        <v>5</v>
      </c>
      <c r="B151">
        <v>2</v>
      </c>
      <c r="C151" t="s">
        <v>106</v>
      </c>
      <c r="D151" s="697">
        <v>39576</v>
      </c>
      <c r="E151" s="695">
        <v>16572.189999999999</v>
      </c>
      <c r="F151" s="697">
        <v>39940</v>
      </c>
      <c r="G151" s="695">
        <v>10709.92</v>
      </c>
      <c r="H151" s="697">
        <v>40304</v>
      </c>
      <c r="I151" s="695">
        <v>11316.26</v>
      </c>
      <c r="J151" s="683">
        <v>40668</v>
      </c>
      <c r="K151" s="695">
        <v>11180.5</v>
      </c>
      <c r="L151" s="683">
        <v>41039</v>
      </c>
      <c r="M151" s="707">
        <v>13475.7</v>
      </c>
      <c r="N151" s="683">
        <v>41403</v>
      </c>
      <c r="O151" s="690">
        <v>20177.45</v>
      </c>
      <c r="P151" s="689">
        <v>41767</v>
      </c>
      <c r="Q151" s="686">
        <v>13257.5</v>
      </c>
      <c r="R151" s="689">
        <f t="shared" si="305"/>
        <v>42131</v>
      </c>
      <c r="S151" s="719">
        <v>16975.759999999998</v>
      </c>
      <c r="T151" s="689">
        <f t="shared" si="305"/>
        <v>42502</v>
      </c>
      <c r="U151" s="719">
        <v>14853.1</v>
      </c>
      <c r="V151" s="689">
        <f t="shared" ref="V151:Z151" si="310">V150+1</f>
        <v>42866</v>
      </c>
      <c r="W151" s="768">
        <v>20950.11</v>
      </c>
      <c r="X151" s="689">
        <f t="shared" ref="X151" si="311">X150+1</f>
        <v>43230</v>
      </c>
      <c r="Y151" s="768">
        <v>15727.57</v>
      </c>
      <c r="Z151" s="689">
        <f t="shared" si="310"/>
        <v>43594</v>
      </c>
      <c r="AA151" s="768">
        <v>15238.85</v>
      </c>
      <c r="AB151" s="689">
        <f t="shared" ref="AB151" si="312">AB150+1</f>
        <v>43958</v>
      </c>
      <c r="AC151" s="774"/>
      <c r="AD151" s="864"/>
      <c r="AJ151" s="751"/>
      <c r="AK151" s="752"/>
      <c r="AL151" s="753"/>
      <c r="AM151" s="762">
        <f t="shared" si="304"/>
        <v>0</v>
      </c>
      <c r="AN151" s="763">
        <f t="shared" si="309"/>
        <v>44322</v>
      </c>
    </row>
    <row r="152" spans="1:40" hidden="1">
      <c r="A152" s="7">
        <v>5</v>
      </c>
      <c r="B152">
        <v>2</v>
      </c>
      <c r="C152" t="s">
        <v>107</v>
      </c>
      <c r="D152" s="697">
        <v>39577</v>
      </c>
      <c r="E152" s="695">
        <v>24619.48</v>
      </c>
      <c r="F152" s="697">
        <v>39941</v>
      </c>
      <c r="G152" s="695">
        <v>20258.61</v>
      </c>
      <c r="H152" s="697">
        <v>40305</v>
      </c>
      <c r="I152" s="695">
        <v>18757.169999999998</v>
      </c>
      <c r="J152" s="683">
        <v>40669</v>
      </c>
      <c r="K152" s="695">
        <v>20664.2</v>
      </c>
      <c r="L152" s="683">
        <v>41040</v>
      </c>
      <c r="M152" s="707">
        <v>23569.9</v>
      </c>
      <c r="N152" s="683">
        <v>41404</v>
      </c>
      <c r="O152" s="690">
        <v>21202.55</v>
      </c>
      <c r="P152" s="689">
        <v>41768</v>
      </c>
      <c r="Q152" s="686">
        <v>24115.01</v>
      </c>
      <c r="R152" s="689">
        <f t="shared" si="305"/>
        <v>42132</v>
      </c>
      <c r="S152" s="719">
        <v>21299.86</v>
      </c>
      <c r="T152" s="689">
        <f t="shared" si="305"/>
        <v>42503</v>
      </c>
      <c r="U152" s="719">
        <v>19178.95</v>
      </c>
      <c r="V152" s="689">
        <f t="shared" ref="V152:Z152" si="313">V151+1</f>
        <v>42867</v>
      </c>
      <c r="W152" s="768">
        <v>22982.95</v>
      </c>
      <c r="X152" s="689">
        <f t="shared" ref="X152" si="314">X151+1</f>
        <v>43231</v>
      </c>
      <c r="Y152" s="768">
        <v>17623.439999999999</v>
      </c>
      <c r="Z152" s="689">
        <f t="shared" si="313"/>
        <v>43595</v>
      </c>
      <c r="AA152" s="768">
        <v>26690.59</v>
      </c>
      <c r="AB152" s="689">
        <f t="shared" ref="AB152" si="315">AB151+1</f>
        <v>43959</v>
      </c>
      <c r="AC152" s="774"/>
      <c r="AD152" s="864"/>
      <c r="AJ152" s="751"/>
      <c r="AK152" s="752"/>
      <c r="AL152" s="753"/>
      <c r="AM152" s="762">
        <f t="shared" si="304"/>
        <v>0</v>
      </c>
      <c r="AN152" s="763">
        <f t="shared" si="309"/>
        <v>44323</v>
      </c>
    </row>
    <row r="153" spans="1:40" hidden="1">
      <c r="A153" s="7">
        <v>5</v>
      </c>
      <c r="B153">
        <v>2</v>
      </c>
      <c r="C153" t="s">
        <v>108</v>
      </c>
      <c r="D153" s="697">
        <v>39578</v>
      </c>
      <c r="E153" s="695">
        <v>27580.66</v>
      </c>
      <c r="F153" s="697">
        <v>39942</v>
      </c>
      <c r="G153" s="695">
        <v>24793.599999999999</v>
      </c>
      <c r="H153" s="697">
        <v>40306</v>
      </c>
      <c r="I153" s="695">
        <v>25601.03</v>
      </c>
      <c r="J153" s="683">
        <v>40670</v>
      </c>
      <c r="K153" s="695">
        <v>27098.25</v>
      </c>
      <c r="L153" s="683">
        <v>41041</v>
      </c>
      <c r="M153" s="707">
        <v>23668.6</v>
      </c>
      <c r="N153" s="683">
        <v>41405</v>
      </c>
      <c r="O153" s="690">
        <v>25533.5</v>
      </c>
      <c r="P153" s="689">
        <v>41769</v>
      </c>
      <c r="Q153" s="686">
        <v>30374.46</v>
      </c>
      <c r="R153" s="689">
        <f t="shared" si="305"/>
        <v>42133</v>
      </c>
      <c r="S153" s="719">
        <v>29973.95</v>
      </c>
      <c r="T153" s="689">
        <f t="shared" si="305"/>
        <v>42504</v>
      </c>
      <c r="U153" s="719">
        <v>24711.71</v>
      </c>
      <c r="V153" s="689">
        <f t="shared" ref="V153:Z153" si="316">V152+1</f>
        <v>42868</v>
      </c>
      <c r="W153" s="768">
        <v>26825.96</v>
      </c>
      <c r="X153" s="689">
        <f t="shared" ref="X153" si="317">X152+1</f>
        <v>43232</v>
      </c>
      <c r="Y153" s="768">
        <v>28669.01</v>
      </c>
      <c r="Z153" s="689">
        <f t="shared" si="316"/>
        <v>43596</v>
      </c>
      <c r="AA153" s="768">
        <v>32092.29</v>
      </c>
      <c r="AB153" s="689">
        <f t="shared" ref="AB153" si="318">AB152+1</f>
        <v>43960</v>
      </c>
      <c r="AC153" s="774"/>
      <c r="AD153" s="864"/>
      <c r="AJ153" s="751"/>
      <c r="AK153" s="752"/>
      <c r="AL153" s="753"/>
      <c r="AM153" s="762">
        <f t="shared" si="304"/>
        <v>0</v>
      </c>
      <c r="AN153" s="763">
        <f t="shared" si="309"/>
        <v>44324</v>
      </c>
    </row>
    <row r="154" spans="1:40" ht="15.75" hidden="1" thickBot="1">
      <c r="A154" s="12">
        <v>5</v>
      </c>
      <c r="B154" s="14">
        <v>2</v>
      </c>
      <c r="C154" s="14" t="s">
        <v>109</v>
      </c>
      <c r="D154" s="697">
        <v>39579</v>
      </c>
      <c r="E154" s="695">
        <v>26592.75</v>
      </c>
      <c r="F154" s="699">
        <v>39943</v>
      </c>
      <c r="G154" s="695">
        <v>23835.45</v>
      </c>
      <c r="H154" s="699">
        <v>40307</v>
      </c>
      <c r="I154" s="695">
        <v>26213.78</v>
      </c>
      <c r="J154" s="700">
        <v>40671</v>
      </c>
      <c r="K154" s="695">
        <v>30051.5</v>
      </c>
      <c r="L154" s="683">
        <v>41042</v>
      </c>
      <c r="M154" s="707">
        <v>26112</v>
      </c>
      <c r="N154" s="683">
        <v>41406</v>
      </c>
      <c r="O154" s="690">
        <v>31024.66</v>
      </c>
      <c r="P154" s="689">
        <v>41770</v>
      </c>
      <c r="Q154" s="686">
        <v>30138.3</v>
      </c>
      <c r="R154" s="761">
        <f t="shared" si="305"/>
        <v>42134</v>
      </c>
      <c r="S154" s="723">
        <v>32150.46</v>
      </c>
      <c r="T154" s="761">
        <f t="shared" si="305"/>
        <v>42505</v>
      </c>
      <c r="U154" s="723">
        <v>18387.27</v>
      </c>
      <c r="V154" s="761">
        <f t="shared" ref="V154:Z154" si="319">V153+1</f>
        <v>42869</v>
      </c>
      <c r="W154" s="769">
        <v>31115.02</v>
      </c>
      <c r="X154" s="761">
        <f t="shared" ref="X154" si="320">X153+1</f>
        <v>43233</v>
      </c>
      <c r="Y154" s="769">
        <v>32132.87</v>
      </c>
      <c r="Z154" s="761">
        <f t="shared" si="319"/>
        <v>43597</v>
      </c>
      <c r="AA154" s="769">
        <v>33216.71</v>
      </c>
      <c r="AB154" s="761">
        <f t="shared" ref="AB154" si="321">AB153+1</f>
        <v>43961</v>
      </c>
      <c r="AC154" s="775"/>
      <c r="AD154" s="865"/>
      <c r="AE154" s="203">
        <f>SUM(E148:E154)</f>
        <v>131873.78</v>
      </c>
      <c r="AF154" s="203">
        <f>SUM(G148:G154)</f>
        <v>109730.48</v>
      </c>
      <c r="AG154" s="203">
        <f>SUM(I148:I154)</f>
        <v>114336.57</v>
      </c>
      <c r="AH154" s="203">
        <f>SUM(K148:K154)</f>
        <v>122234.62</v>
      </c>
      <c r="AI154" s="203">
        <f>SUM(M148:M154)</f>
        <v>132334.70000000001</v>
      </c>
      <c r="AJ154" s="751"/>
      <c r="AK154" s="752"/>
      <c r="AL154" s="754"/>
      <c r="AM154" s="762">
        <f t="shared" si="304"/>
        <v>0</v>
      </c>
      <c r="AN154" s="763">
        <f t="shared" si="309"/>
        <v>44325</v>
      </c>
    </row>
    <row r="155" spans="1:40" s="428" customFormat="1" ht="15.75" hidden="1" thickBot="1">
      <c r="A155" s="486"/>
      <c r="C155" s="809" t="s">
        <v>282</v>
      </c>
      <c r="D155" s="810"/>
      <c r="E155" s="811"/>
      <c r="F155" s="810"/>
      <c r="G155" s="811"/>
      <c r="H155" s="810"/>
      <c r="I155" s="811"/>
      <c r="J155" s="812"/>
      <c r="K155" s="813"/>
      <c r="L155" s="812"/>
      <c r="M155" s="813"/>
      <c r="N155" s="812"/>
      <c r="O155" s="814">
        <f>SUM(O148:O154)</f>
        <v>139676.26</v>
      </c>
      <c r="P155" s="812"/>
      <c r="Q155" s="814">
        <f>SUM(Q148:Q154)</f>
        <v>136819.81999999998</v>
      </c>
      <c r="R155" s="815"/>
      <c r="S155" s="816">
        <f>SUM(S148:S154)</f>
        <v>132912.75</v>
      </c>
      <c r="T155" s="815"/>
      <c r="U155" s="816">
        <f>SUM(U148:U154)</f>
        <v>112532.68000000001</v>
      </c>
      <c r="V155" s="815"/>
      <c r="W155" s="816">
        <f>SUM(W148:W154)</f>
        <v>138844.06</v>
      </c>
      <c r="X155" s="815"/>
      <c r="Y155" s="816">
        <f>SUM(Y148:Y154)</f>
        <v>132971.56</v>
      </c>
      <c r="Z155" s="815"/>
      <c r="AA155" s="816">
        <f>SUM(AA148:AA154)</f>
        <v>141613.25</v>
      </c>
      <c r="AB155" s="815"/>
      <c r="AC155" s="816">
        <f>SUM(AC148:AC154)</f>
        <v>0</v>
      </c>
      <c r="AD155" s="758"/>
      <c r="AE155" s="822"/>
      <c r="AF155" s="822"/>
      <c r="AG155" s="822"/>
      <c r="AH155" s="822"/>
      <c r="AI155" s="822"/>
      <c r="AJ155" s="820">
        <f>SUM(AJ148:AJ154)</f>
        <v>0</v>
      </c>
      <c r="AK155" s="823">
        <f>SUM(AK148:AK154)</f>
        <v>0</v>
      </c>
      <c r="AL155" s="823">
        <f>SUM(AL148:AL154)</f>
        <v>0</v>
      </c>
      <c r="AM155" s="821">
        <f>SUM(AM148:AM154)</f>
        <v>0</v>
      </c>
    </row>
    <row r="156" spans="1:40" ht="15.75" hidden="1" thickBot="1">
      <c r="A156" s="5">
        <v>5</v>
      </c>
      <c r="B156" s="16">
        <v>3</v>
      </c>
      <c r="C156" s="16" t="s">
        <v>103</v>
      </c>
      <c r="D156" s="699">
        <v>39580</v>
      </c>
      <c r="E156" s="695">
        <v>12452.16</v>
      </c>
      <c r="F156" s="694">
        <v>39944</v>
      </c>
      <c r="G156" s="695">
        <v>9062.94</v>
      </c>
      <c r="H156" s="694">
        <v>40308</v>
      </c>
      <c r="I156" s="695">
        <v>9636.1</v>
      </c>
      <c r="J156" s="701">
        <v>40672</v>
      </c>
      <c r="K156" s="695">
        <v>9594.25</v>
      </c>
      <c r="L156" s="683">
        <v>41043</v>
      </c>
      <c r="M156" s="707">
        <v>9645.75</v>
      </c>
      <c r="N156" s="683">
        <v>41407</v>
      </c>
      <c r="O156" s="690">
        <v>9894.9500000000007</v>
      </c>
      <c r="P156" s="689">
        <v>41771</v>
      </c>
      <c r="Q156" s="686">
        <v>10268.950000000001</v>
      </c>
      <c r="R156" s="635">
        <f>R154+1</f>
        <v>42135</v>
      </c>
      <c r="S156" s="717">
        <v>12941.5</v>
      </c>
      <c r="T156" s="635">
        <f>T154+1</f>
        <v>42506</v>
      </c>
      <c r="U156" s="717">
        <v>12662.4</v>
      </c>
      <c r="V156" s="635">
        <f>V154+1</f>
        <v>42870</v>
      </c>
      <c r="W156" s="767">
        <v>12079.2</v>
      </c>
      <c r="X156" s="635">
        <f>X154+1</f>
        <v>43234</v>
      </c>
      <c r="Y156" s="767">
        <v>10747.75</v>
      </c>
      <c r="Z156" s="635">
        <f>Z154+1</f>
        <v>43598</v>
      </c>
      <c r="AA156" s="767">
        <v>12491.59</v>
      </c>
      <c r="AB156" s="635">
        <f>AB154+1</f>
        <v>43962</v>
      </c>
      <c r="AC156" s="772"/>
      <c r="AD156" s="863" t="s">
        <v>129</v>
      </c>
      <c r="AJ156" s="751"/>
      <c r="AK156" s="752"/>
      <c r="AL156" s="752"/>
      <c r="AM156" s="762">
        <f t="shared" ref="AM156:AM162" si="322">SUM(AJ156:AL156)</f>
        <v>0</v>
      </c>
      <c r="AN156" s="763">
        <f>AN154+1</f>
        <v>44326</v>
      </c>
    </row>
    <row r="157" spans="1:40" hidden="1">
      <c r="A157" s="7">
        <v>5</v>
      </c>
      <c r="B157">
        <v>3</v>
      </c>
      <c r="C157" t="s">
        <v>104</v>
      </c>
      <c r="D157" s="694">
        <v>39581</v>
      </c>
      <c r="E157" s="695">
        <v>13513.29</v>
      </c>
      <c r="F157" s="697">
        <v>39945</v>
      </c>
      <c r="G157" s="695">
        <v>10937.15</v>
      </c>
      <c r="H157" s="697">
        <v>40309</v>
      </c>
      <c r="I157" s="695">
        <v>12084.48</v>
      </c>
      <c r="J157" s="683">
        <v>40673</v>
      </c>
      <c r="K157" s="695">
        <v>14099.92</v>
      </c>
      <c r="L157" s="683">
        <v>41044</v>
      </c>
      <c r="M157" s="707">
        <v>6061.1</v>
      </c>
      <c r="N157" s="683">
        <v>41408</v>
      </c>
      <c r="O157" s="690">
        <v>11192.55</v>
      </c>
      <c r="P157" s="689">
        <v>41772</v>
      </c>
      <c r="Q157" s="686">
        <v>11123.2</v>
      </c>
      <c r="R157" s="689">
        <f>R156+1</f>
        <v>42136</v>
      </c>
      <c r="S157" s="719">
        <v>12906.9</v>
      </c>
      <c r="T157" s="689">
        <f>T156+1</f>
        <v>42507</v>
      </c>
      <c r="U157" s="719">
        <v>13639.3</v>
      </c>
      <c r="V157" s="689">
        <f>V156+1</f>
        <v>42871</v>
      </c>
      <c r="W157" s="837">
        <v>13561.3</v>
      </c>
      <c r="X157" s="689">
        <f>X156+1</f>
        <v>43235</v>
      </c>
      <c r="Y157" s="837">
        <v>13136.39</v>
      </c>
      <c r="Z157" s="689">
        <f>Z156+1</f>
        <v>43599</v>
      </c>
      <c r="AA157" s="837">
        <v>13562.13</v>
      </c>
      <c r="AB157" s="689">
        <f>AB156+1</f>
        <v>43963</v>
      </c>
      <c r="AC157" s="818"/>
      <c r="AD157" s="864"/>
      <c r="AJ157" s="751"/>
      <c r="AK157" s="752"/>
      <c r="AL157" s="753"/>
      <c r="AM157" s="762">
        <f t="shared" si="322"/>
        <v>0</v>
      </c>
      <c r="AN157" s="763">
        <f>AN156+1</f>
        <v>44327</v>
      </c>
    </row>
    <row r="158" spans="1:40" hidden="1">
      <c r="A158" s="7">
        <v>5</v>
      </c>
      <c r="B158">
        <v>3</v>
      </c>
      <c r="C158" t="s">
        <v>105</v>
      </c>
      <c r="D158" s="697">
        <v>39582</v>
      </c>
      <c r="E158" s="695">
        <v>13691.07</v>
      </c>
      <c r="F158" s="697">
        <v>39946</v>
      </c>
      <c r="G158" s="695">
        <v>16029.45</v>
      </c>
      <c r="H158" s="697">
        <v>40310</v>
      </c>
      <c r="I158" s="695">
        <v>9478.82</v>
      </c>
      <c r="J158" s="683">
        <v>40674</v>
      </c>
      <c r="K158" s="695">
        <v>12619.07</v>
      </c>
      <c r="L158" s="683">
        <v>41045</v>
      </c>
      <c r="M158" s="707">
        <v>11271</v>
      </c>
      <c r="N158" s="683">
        <v>41409</v>
      </c>
      <c r="O158" s="690">
        <v>15876.46</v>
      </c>
      <c r="P158" s="689">
        <v>41773</v>
      </c>
      <c r="Q158" s="686">
        <v>13329.21</v>
      </c>
      <c r="R158" s="689">
        <f t="shared" ref="R158:T162" si="323">R157+1</f>
        <v>42137</v>
      </c>
      <c r="S158" s="719">
        <v>14921.85</v>
      </c>
      <c r="T158" s="689">
        <f t="shared" si="323"/>
        <v>42508</v>
      </c>
      <c r="U158" s="719">
        <v>14732.61</v>
      </c>
      <c r="V158" s="689">
        <f t="shared" ref="V158:Z158" si="324">V157+1</f>
        <v>42872</v>
      </c>
      <c r="W158" s="768">
        <v>15875.1</v>
      </c>
      <c r="X158" s="689">
        <f t="shared" ref="X158" si="325">X157+1</f>
        <v>43236</v>
      </c>
      <c r="Y158" s="768">
        <v>18699.98</v>
      </c>
      <c r="Z158" s="689">
        <f t="shared" si="324"/>
        <v>43600</v>
      </c>
      <c r="AA158" s="768">
        <v>17222.21</v>
      </c>
      <c r="AB158" s="689">
        <f t="shared" ref="AB158" si="326">AB157+1</f>
        <v>43964</v>
      </c>
      <c r="AC158" s="774"/>
      <c r="AD158" s="864"/>
      <c r="AJ158" s="751"/>
      <c r="AK158" s="752"/>
      <c r="AL158" s="753"/>
      <c r="AM158" s="762">
        <f t="shared" si="322"/>
        <v>0</v>
      </c>
      <c r="AN158" s="763">
        <f t="shared" ref="AN158:AN162" si="327">AN157+1</f>
        <v>44328</v>
      </c>
    </row>
    <row r="159" spans="1:40" hidden="1">
      <c r="A159" s="7">
        <v>5</v>
      </c>
      <c r="B159">
        <v>3</v>
      </c>
      <c r="C159" t="s">
        <v>106</v>
      </c>
      <c r="D159" s="697">
        <v>39583</v>
      </c>
      <c r="E159" s="695">
        <v>17341.7</v>
      </c>
      <c r="F159" s="697">
        <v>39947</v>
      </c>
      <c r="G159" s="695">
        <v>14616.47</v>
      </c>
      <c r="H159" s="697">
        <v>40311</v>
      </c>
      <c r="I159" s="695">
        <v>11559.06</v>
      </c>
      <c r="J159" s="683">
        <v>40675</v>
      </c>
      <c r="K159" s="695">
        <v>13594</v>
      </c>
      <c r="L159" s="683">
        <v>41046</v>
      </c>
      <c r="M159" s="707">
        <v>10954.6</v>
      </c>
      <c r="N159" s="683">
        <v>41410</v>
      </c>
      <c r="O159" s="690">
        <v>12659.22</v>
      </c>
      <c r="P159" s="689">
        <v>41774</v>
      </c>
      <c r="Q159" s="686">
        <v>14243.05</v>
      </c>
      <c r="R159" s="689">
        <f t="shared" si="323"/>
        <v>42138</v>
      </c>
      <c r="S159" s="719">
        <v>18373.099999999999</v>
      </c>
      <c r="T159" s="689">
        <f t="shared" si="323"/>
        <v>42509</v>
      </c>
      <c r="U159" s="719">
        <v>16742.5</v>
      </c>
      <c r="V159" s="689">
        <f t="shared" ref="V159:Z159" si="328">V158+1</f>
        <v>42873</v>
      </c>
      <c r="W159" s="768">
        <v>16806.2</v>
      </c>
      <c r="X159" s="689">
        <f t="shared" ref="X159" si="329">X158+1</f>
        <v>43237</v>
      </c>
      <c r="Y159" s="768">
        <v>15765.79</v>
      </c>
      <c r="Z159" s="689">
        <f t="shared" si="328"/>
        <v>43601</v>
      </c>
      <c r="AA159" s="768">
        <v>18017.41</v>
      </c>
      <c r="AB159" s="689">
        <f t="shared" ref="AB159" si="330">AB158+1</f>
        <v>43965</v>
      </c>
      <c r="AC159" s="774"/>
      <c r="AD159" s="864"/>
      <c r="AJ159" s="751"/>
      <c r="AK159" s="752"/>
      <c r="AL159" s="753"/>
      <c r="AM159" s="762">
        <f t="shared" si="322"/>
        <v>0</v>
      </c>
      <c r="AN159" s="763">
        <f t="shared" si="327"/>
        <v>44329</v>
      </c>
    </row>
    <row r="160" spans="1:40" hidden="1">
      <c r="A160" s="7">
        <v>5</v>
      </c>
      <c r="B160">
        <v>3</v>
      </c>
      <c r="C160" t="s">
        <v>107</v>
      </c>
      <c r="D160" s="697">
        <v>39584</v>
      </c>
      <c r="E160" s="695">
        <v>23840.28</v>
      </c>
      <c r="F160" s="697">
        <v>39948</v>
      </c>
      <c r="G160" s="695">
        <v>18880.419999999998</v>
      </c>
      <c r="H160" s="697">
        <v>40312</v>
      </c>
      <c r="I160" s="695">
        <v>19935.96</v>
      </c>
      <c r="J160" s="683">
        <v>40676</v>
      </c>
      <c r="K160" s="695">
        <v>15682.95</v>
      </c>
      <c r="L160" s="683">
        <v>41047</v>
      </c>
      <c r="M160" s="707">
        <v>22442.9</v>
      </c>
      <c r="N160" s="683">
        <v>41411</v>
      </c>
      <c r="O160" s="690">
        <v>14870.06</v>
      </c>
      <c r="P160" s="689">
        <v>41775</v>
      </c>
      <c r="Q160" s="686">
        <v>21032.1</v>
      </c>
      <c r="R160" s="689">
        <f t="shared" si="323"/>
        <v>42139</v>
      </c>
      <c r="S160" s="719">
        <v>19877.349999999999</v>
      </c>
      <c r="T160" s="689">
        <f t="shared" si="323"/>
        <v>42510</v>
      </c>
      <c r="U160" s="719">
        <v>19675.86</v>
      </c>
      <c r="V160" s="689">
        <f t="shared" ref="V160:Z160" si="331">V159+1</f>
        <v>42874</v>
      </c>
      <c r="W160" s="768">
        <v>20032.8</v>
      </c>
      <c r="X160" s="689">
        <f t="shared" ref="X160" si="332">X159+1</f>
        <v>43238</v>
      </c>
      <c r="Y160" s="768">
        <v>20917.400000000001</v>
      </c>
      <c r="Z160" s="689">
        <f t="shared" si="331"/>
        <v>43602</v>
      </c>
      <c r="AA160" s="768">
        <v>17767.560000000001</v>
      </c>
      <c r="AB160" s="689">
        <f t="shared" ref="AB160" si="333">AB159+1</f>
        <v>43966</v>
      </c>
      <c r="AC160" s="774"/>
      <c r="AD160" s="864"/>
      <c r="AJ160" s="751"/>
      <c r="AK160" s="752"/>
      <c r="AL160" s="753"/>
      <c r="AM160" s="762">
        <f t="shared" si="322"/>
        <v>0</v>
      </c>
      <c r="AN160" s="763">
        <f t="shared" si="327"/>
        <v>44330</v>
      </c>
    </row>
    <row r="161" spans="1:40" hidden="1">
      <c r="A161" s="7">
        <v>5</v>
      </c>
      <c r="B161">
        <v>3</v>
      </c>
      <c r="C161" t="s">
        <v>108</v>
      </c>
      <c r="D161" s="697">
        <v>39585</v>
      </c>
      <c r="E161" s="695">
        <v>23475.24</v>
      </c>
      <c r="F161" s="697">
        <v>39949</v>
      </c>
      <c r="G161" s="695">
        <v>19870.349999999999</v>
      </c>
      <c r="H161" s="697">
        <v>40313</v>
      </c>
      <c r="I161" s="695">
        <v>22889.78</v>
      </c>
      <c r="J161" s="683">
        <v>40677</v>
      </c>
      <c r="K161" s="695">
        <v>24714.25</v>
      </c>
      <c r="L161" s="683">
        <v>41048</v>
      </c>
      <c r="M161" s="707">
        <v>22859.71</v>
      </c>
      <c r="N161" s="683">
        <v>41412</v>
      </c>
      <c r="O161" s="690">
        <v>20347.439999999999</v>
      </c>
      <c r="P161" s="689">
        <v>41776</v>
      </c>
      <c r="Q161" s="686">
        <v>25106.77</v>
      </c>
      <c r="R161" s="689">
        <f t="shared" si="323"/>
        <v>42140</v>
      </c>
      <c r="S161" s="719">
        <v>25008.720000000001</v>
      </c>
      <c r="T161" s="689">
        <f t="shared" si="323"/>
        <v>42511</v>
      </c>
      <c r="U161" s="719">
        <v>23023.06</v>
      </c>
      <c r="V161" s="689">
        <f t="shared" ref="V161:Z161" si="334">V160+1</f>
        <v>42875</v>
      </c>
      <c r="W161" s="768">
        <v>27850.42</v>
      </c>
      <c r="X161" s="689">
        <f t="shared" ref="X161" si="335">X160+1</f>
        <v>43239</v>
      </c>
      <c r="Y161" s="768">
        <v>28571.95</v>
      </c>
      <c r="Z161" s="689">
        <f t="shared" si="334"/>
        <v>43603</v>
      </c>
      <c r="AA161" s="768">
        <v>26029.13</v>
      </c>
      <c r="AB161" s="689">
        <f t="shared" ref="AB161" si="336">AB160+1</f>
        <v>43967</v>
      </c>
      <c r="AC161" s="774"/>
      <c r="AD161" s="864"/>
      <c r="AJ161" s="751"/>
      <c r="AK161" s="752"/>
      <c r="AL161" s="753"/>
      <c r="AM161" s="762">
        <f t="shared" si="322"/>
        <v>0</v>
      </c>
      <c r="AN161" s="763">
        <f t="shared" si="327"/>
        <v>44331</v>
      </c>
    </row>
    <row r="162" spans="1:40" ht="15.75" hidden="1" thickBot="1">
      <c r="A162" s="12">
        <v>5</v>
      </c>
      <c r="B162" s="14">
        <v>3</v>
      </c>
      <c r="C162" s="14" t="s">
        <v>109</v>
      </c>
      <c r="D162" s="697">
        <v>39586</v>
      </c>
      <c r="E162" s="695">
        <v>7203.19</v>
      </c>
      <c r="F162" s="699">
        <v>39950</v>
      </c>
      <c r="G162" s="695">
        <v>6683.8</v>
      </c>
      <c r="H162" s="699">
        <v>40314</v>
      </c>
      <c r="I162" s="695">
        <v>6152.69</v>
      </c>
      <c r="J162" s="700">
        <v>40678</v>
      </c>
      <c r="K162" s="695">
        <v>9981.1</v>
      </c>
      <c r="L162" s="683">
        <v>41049</v>
      </c>
      <c r="M162" s="707">
        <v>13880.18</v>
      </c>
      <c r="N162" s="683">
        <v>41413</v>
      </c>
      <c r="O162" s="690">
        <v>14156.62</v>
      </c>
      <c r="P162" s="689">
        <v>41777</v>
      </c>
      <c r="Q162" s="686">
        <v>14553.81</v>
      </c>
      <c r="R162" s="761">
        <f t="shared" si="323"/>
        <v>42141</v>
      </c>
      <c r="S162" s="723">
        <v>14820.2</v>
      </c>
      <c r="T162" s="761">
        <f t="shared" si="323"/>
        <v>42512</v>
      </c>
      <c r="U162" s="723">
        <v>16574.05</v>
      </c>
      <c r="V162" s="761">
        <f t="shared" ref="V162:Z162" si="337">V161+1</f>
        <v>42876</v>
      </c>
      <c r="W162" s="769">
        <v>14585.75</v>
      </c>
      <c r="X162" s="761">
        <f t="shared" ref="X162" si="338">X161+1</f>
        <v>43240</v>
      </c>
      <c r="Y162" s="769">
        <v>19516.759999999998</v>
      </c>
      <c r="Z162" s="761">
        <f t="shared" si="337"/>
        <v>43604</v>
      </c>
      <c r="AA162" s="769">
        <v>16931.84</v>
      </c>
      <c r="AB162" s="761">
        <f t="shared" ref="AB162" si="339">AB161+1</f>
        <v>43968</v>
      </c>
      <c r="AC162" s="775"/>
      <c r="AD162" s="865"/>
      <c r="AE162" s="203">
        <f>SUM(E156:E162)</f>
        <v>111516.93000000001</v>
      </c>
      <c r="AF162" s="203">
        <f>SUM(G156:G162)</f>
        <v>96080.58</v>
      </c>
      <c r="AG162" s="203">
        <f>SUM(I156:I162)</f>
        <v>91736.89</v>
      </c>
      <c r="AH162" s="203">
        <f>SUM(K156:K162)</f>
        <v>100285.54000000001</v>
      </c>
      <c r="AI162" s="203">
        <f>SUM(M156:M162)</f>
        <v>97115.239999999991</v>
      </c>
      <c r="AJ162" s="751"/>
      <c r="AK162" s="752"/>
      <c r="AL162" s="754"/>
      <c r="AM162" s="762">
        <f t="shared" si="322"/>
        <v>0</v>
      </c>
      <c r="AN162" s="763">
        <f t="shared" si="327"/>
        <v>44332</v>
      </c>
    </row>
    <row r="163" spans="1:40" s="428" customFormat="1" ht="15.75" hidden="1" thickBot="1">
      <c r="A163" s="486"/>
      <c r="C163" s="809" t="s">
        <v>282</v>
      </c>
      <c r="D163" s="810"/>
      <c r="E163" s="811"/>
      <c r="F163" s="810"/>
      <c r="G163" s="811"/>
      <c r="H163" s="810"/>
      <c r="I163" s="811"/>
      <c r="J163" s="812"/>
      <c r="K163" s="813"/>
      <c r="L163" s="812"/>
      <c r="M163" s="813"/>
      <c r="N163" s="812"/>
      <c r="O163" s="814">
        <f>SUM(O156:O162)</f>
        <v>98997.299999999988</v>
      </c>
      <c r="P163" s="812"/>
      <c r="Q163" s="814">
        <f>SUM(Q156:Q162)</f>
        <v>109657.09000000001</v>
      </c>
      <c r="R163" s="815"/>
      <c r="S163" s="816">
        <f>SUM(S156:S162)</f>
        <v>118849.62</v>
      </c>
      <c r="T163" s="815"/>
      <c r="U163" s="816">
        <f>SUM(U156:U162)</f>
        <v>117049.78</v>
      </c>
      <c r="V163" s="815"/>
      <c r="W163" s="816">
        <f>SUM(W156:W162)</f>
        <v>120790.77</v>
      </c>
      <c r="X163" s="815"/>
      <c r="Y163" s="816">
        <f>SUM(Y156:Y162)</f>
        <v>127356.01999999999</v>
      </c>
      <c r="Z163" s="815"/>
      <c r="AA163" s="816">
        <f>SUM(AA156:AA162)</f>
        <v>122021.87</v>
      </c>
      <c r="AB163" s="815"/>
      <c r="AC163" s="816">
        <f>SUM(AC156:AC162)</f>
        <v>0</v>
      </c>
      <c r="AD163" s="758"/>
      <c r="AE163" s="822"/>
      <c r="AF163" s="822"/>
      <c r="AG163" s="822"/>
      <c r="AH163" s="822"/>
      <c r="AI163" s="822"/>
      <c r="AJ163" s="820">
        <f>SUM(AJ156:AJ162)</f>
        <v>0</v>
      </c>
      <c r="AK163" s="823">
        <f>SUM(AK156:AK162)</f>
        <v>0</v>
      </c>
      <c r="AL163" s="823">
        <f>SUM(AL156:AL162)</f>
        <v>0</v>
      </c>
      <c r="AM163" s="821">
        <f>SUM(AM156:AM162)</f>
        <v>0</v>
      </c>
    </row>
    <row r="164" spans="1:40" ht="15.75" hidden="1" thickBot="1">
      <c r="A164" s="5">
        <v>5</v>
      </c>
      <c r="B164" s="16">
        <v>4</v>
      </c>
      <c r="C164" s="16" t="s">
        <v>103</v>
      </c>
      <c r="D164" s="699">
        <v>39587</v>
      </c>
      <c r="E164" s="695">
        <v>10835.45</v>
      </c>
      <c r="F164" s="694">
        <v>39951</v>
      </c>
      <c r="G164" s="695">
        <v>8487.98</v>
      </c>
      <c r="H164" s="694">
        <v>40315</v>
      </c>
      <c r="I164" s="695">
        <v>9433.14</v>
      </c>
      <c r="J164" s="701">
        <v>40679</v>
      </c>
      <c r="K164" s="695">
        <v>9567.74</v>
      </c>
      <c r="L164" s="683">
        <v>41050</v>
      </c>
      <c r="M164" s="707">
        <v>8638.7099999999991</v>
      </c>
      <c r="N164" s="683">
        <v>41414</v>
      </c>
      <c r="O164" s="690">
        <v>14314.25</v>
      </c>
      <c r="P164" s="689">
        <v>41778</v>
      </c>
      <c r="Q164" s="686">
        <v>8043.01</v>
      </c>
      <c r="R164" s="635">
        <f>R162+1</f>
        <v>42142</v>
      </c>
      <c r="S164" s="717">
        <v>9080.1</v>
      </c>
      <c r="T164" s="635">
        <f>T162+1</f>
        <v>42513</v>
      </c>
      <c r="U164" s="717">
        <v>9709.57</v>
      </c>
      <c r="V164" s="635">
        <f>V162+1</f>
        <v>42877</v>
      </c>
      <c r="W164" s="767">
        <v>14911.26</v>
      </c>
      <c r="X164" s="635">
        <f>X162+1</f>
        <v>43241</v>
      </c>
      <c r="Y164" s="767">
        <v>9248.07</v>
      </c>
      <c r="Z164" s="635">
        <f>Z162+1</f>
        <v>43605</v>
      </c>
      <c r="AA164" s="767">
        <v>12749.31</v>
      </c>
      <c r="AB164" s="635">
        <f>AB162+1</f>
        <v>43969</v>
      </c>
      <c r="AC164" s="772"/>
      <c r="AD164" s="863" t="s">
        <v>130</v>
      </c>
      <c r="AJ164" s="751"/>
      <c r="AK164" s="752"/>
      <c r="AL164" s="752"/>
      <c r="AM164" s="762">
        <f t="shared" ref="AM164:AM170" si="340">SUM(AJ164:AL164)</f>
        <v>0</v>
      </c>
      <c r="AN164" s="763">
        <f>AN162+1</f>
        <v>44333</v>
      </c>
    </row>
    <row r="165" spans="1:40" hidden="1">
      <c r="A165" s="7">
        <v>5</v>
      </c>
      <c r="B165">
        <v>4</v>
      </c>
      <c r="C165" t="s">
        <v>104</v>
      </c>
      <c r="D165" s="694">
        <v>39588</v>
      </c>
      <c r="E165" s="695">
        <v>15056.4</v>
      </c>
      <c r="F165" s="697">
        <v>39952</v>
      </c>
      <c r="G165" s="695">
        <v>12703.52</v>
      </c>
      <c r="H165" s="697">
        <v>40316</v>
      </c>
      <c r="I165" s="695">
        <v>13782.12</v>
      </c>
      <c r="J165" s="683">
        <v>40680</v>
      </c>
      <c r="K165" s="695">
        <v>12380.75</v>
      </c>
      <c r="L165" s="683">
        <v>41051</v>
      </c>
      <c r="M165" s="707">
        <v>14863.1</v>
      </c>
      <c r="N165" s="683">
        <v>41415</v>
      </c>
      <c r="O165" s="690">
        <v>12400.45</v>
      </c>
      <c r="P165" s="689">
        <v>41779</v>
      </c>
      <c r="Q165" s="686">
        <v>13459.25</v>
      </c>
      <c r="R165" s="689">
        <f>R164+1</f>
        <v>42143</v>
      </c>
      <c r="S165" s="719">
        <v>14354.75</v>
      </c>
      <c r="T165" s="689">
        <f>T164+1</f>
        <v>42514</v>
      </c>
      <c r="U165" s="719">
        <v>10592.95</v>
      </c>
      <c r="V165" s="689">
        <f>V164+1</f>
        <v>42878</v>
      </c>
      <c r="W165" s="837">
        <v>11654.45</v>
      </c>
      <c r="X165" s="689">
        <f>X164+1</f>
        <v>43242</v>
      </c>
      <c r="Y165" s="837">
        <v>11327.73</v>
      </c>
      <c r="Z165" s="689">
        <f>Z164+1</f>
        <v>43606</v>
      </c>
      <c r="AA165" s="837">
        <v>14734.09</v>
      </c>
      <c r="AB165" s="689">
        <f>AB164+1</f>
        <v>43970</v>
      </c>
      <c r="AC165" s="818"/>
      <c r="AD165" s="864"/>
      <c r="AJ165" s="751"/>
      <c r="AK165" s="752"/>
      <c r="AL165" s="753"/>
      <c r="AM165" s="762">
        <f t="shared" si="340"/>
        <v>0</v>
      </c>
      <c r="AN165" s="763">
        <f>AN164+1</f>
        <v>44334</v>
      </c>
    </row>
    <row r="166" spans="1:40" hidden="1">
      <c r="A166" s="7">
        <v>5</v>
      </c>
      <c r="B166">
        <v>4</v>
      </c>
      <c r="C166" t="s">
        <v>105</v>
      </c>
      <c r="D166" s="697">
        <v>39589</v>
      </c>
      <c r="E166" s="695">
        <v>16697.95</v>
      </c>
      <c r="F166" s="697">
        <v>39953</v>
      </c>
      <c r="G166" s="695">
        <v>14126.81</v>
      </c>
      <c r="H166" s="697">
        <v>40317</v>
      </c>
      <c r="I166" s="695">
        <v>14756.21</v>
      </c>
      <c r="J166" s="683">
        <v>40681</v>
      </c>
      <c r="K166" s="695">
        <v>16456.5</v>
      </c>
      <c r="L166" s="683">
        <v>41052</v>
      </c>
      <c r="M166" s="707">
        <v>16063.27</v>
      </c>
      <c r="N166" s="683">
        <v>41416</v>
      </c>
      <c r="O166" s="690">
        <v>12785.35</v>
      </c>
      <c r="P166" s="689">
        <v>41780</v>
      </c>
      <c r="Q166" s="686">
        <v>14799.55</v>
      </c>
      <c r="R166" s="689">
        <f t="shared" ref="R166:T170" si="341">R165+1</f>
        <v>42144</v>
      </c>
      <c r="S166" s="719">
        <v>14614.15</v>
      </c>
      <c r="T166" s="689">
        <f t="shared" si="341"/>
        <v>42515</v>
      </c>
      <c r="U166" s="719">
        <v>15173.95</v>
      </c>
      <c r="V166" s="689">
        <f t="shared" ref="V166:Z166" si="342">V165+1</f>
        <v>42879</v>
      </c>
      <c r="W166" s="768">
        <v>16475.46</v>
      </c>
      <c r="X166" s="689">
        <f t="shared" ref="X166" si="343">X165+1</f>
        <v>43243</v>
      </c>
      <c r="Y166" s="768">
        <v>15255.2</v>
      </c>
      <c r="Z166" s="689">
        <f t="shared" si="342"/>
        <v>43607</v>
      </c>
      <c r="AA166" s="768">
        <v>14855.22</v>
      </c>
      <c r="AB166" s="689">
        <f t="shared" ref="AB166" si="344">AB165+1</f>
        <v>43971</v>
      </c>
      <c r="AC166" s="774"/>
      <c r="AD166" s="864"/>
      <c r="AJ166" s="751"/>
      <c r="AK166" s="752"/>
      <c r="AL166" s="753"/>
      <c r="AM166" s="762">
        <f t="shared" si="340"/>
        <v>0</v>
      </c>
      <c r="AN166" s="763">
        <f t="shared" ref="AN166:AN170" si="345">AN165+1</f>
        <v>44335</v>
      </c>
    </row>
    <row r="167" spans="1:40" hidden="1">
      <c r="A167" s="7">
        <v>5</v>
      </c>
      <c r="B167">
        <v>4</v>
      </c>
      <c r="C167" t="s">
        <v>106</v>
      </c>
      <c r="D167" s="697">
        <v>39590</v>
      </c>
      <c r="E167" s="695">
        <v>15271.73</v>
      </c>
      <c r="F167" s="697">
        <v>39954</v>
      </c>
      <c r="G167" s="695">
        <v>13867.54</v>
      </c>
      <c r="H167" s="697">
        <v>40318</v>
      </c>
      <c r="I167" s="695">
        <v>13637.26</v>
      </c>
      <c r="J167" s="683">
        <v>40682</v>
      </c>
      <c r="K167" s="695">
        <v>17465.810000000001</v>
      </c>
      <c r="L167" s="683">
        <v>41053</v>
      </c>
      <c r="M167" s="707">
        <v>14217.89</v>
      </c>
      <c r="N167" s="683">
        <v>41417</v>
      </c>
      <c r="O167" s="690">
        <v>13813.32</v>
      </c>
      <c r="P167" s="689">
        <v>41781</v>
      </c>
      <c r="Q167" s="686">
        <v>15752.21</v>
      </c>
      <c r="R167" s="689">
        <f t="shared" si="341"/>
        <v>42145</v>
      </c>
      <c r="S167" s="719">
        <v>15298.7</v>
      </c>
      <c r="T167" s="689">
        <f t="shared" si="341"/>
        <v>42516</v>
      </c>
      <c r="U167" s="719">
        <v>14412.56</v>
      </c>
      <c r="V167" s="689">
        <f t="shared" ref="V167:Z167" si="346">V166+1</f>
        <v>42880</v>
      </c>
      <c r="W167" s="768">
        <v>14591</v>
      </c>
      <c r="X167" s="689">
        <f t="shared" ref="X167" si="347">X166+1</f>
        <v>43244</v>
      </c>
      <c r="Y167" s="768">
        <v>15140.34</v>
      </c>
      <c r="Z167" s="689">
        <f t="shared" si="346"/>
        <v>43608</v>
      </c>
      <c r="AA167" s="768">
        <v>14679.09</v>
      </c>
      <c r="AB167" s="689">
        <f t="shared" ref="AB167" si="348">AB166+1</f>
        <v>43972</v>
      </c>
      <c r="AC167" s="774"/>
      <c r="AD167" s="864"/>
      <c r="AJ167" s="751"/>
      <c r="AK167" s="752"/>
      <c r="AL167" s="753"/>
      <c r="AM167" s="762">
        <f t="shared" si="340"/>
        <v>0</v>
      </c>
      <c r="AN167" s="763">
        <f t="shared" si="345"/>
        <v>44336</v>
      </c>
    </row>
    <row r="168" spans="1:40" hidden="1">
      <c r="A168" s="7">
        <v>5</v>
      </c>
      <c r="B168">
        <v>4</v>
      </c>
      <c r="C168" t="s">
        <v>107</v>
      </c>
      <c r="D168" s="697">
        <v>39591</v>
      </c>
      <c r="E168" s="695">
        <v>19692.36</v>
      </c>
      <c r="F168" s="697">
        <v>39955</v>
      </c>
      <c r="G168" s="695">
        <v>18521.43</v>
      </c>
      <c r="H168" s="697">
        <v>40319</v>
      </c>
      <c r="I168" s="695">
        <v>17110.02</v>
      </c>
      <c r="J168" s="683">
        <v>40683</v>
      </c>
      <c r="K168" s="695">
        <v>25704.3</v>
      </c>
      <c r="L168" s="683">
        <v>41054</v>
      </c>
      <c r="M168" s="707">
        <v>21300.45</v>
      </c>
      <c r="N168" s="683">
        <v>41418</v>
      </c>
      <c r="O168" s="690">
        <v>16537</v>
      </c>
      <c r="P168" s="689">
        <v>41782</v>
      </c>
      <c r="Q168" s="686">
        <v>22891.95</v>
      </c>
      <c r="R168" s="689">
        <f t="shared" si="341"/>
        <v>42146</v>
      </c>
      <c r="S168" s="719">
        <v>26012.82</v>
      </c>
      <c r="T168" s="689">
        <f t="shared" si="341"/>
        <v>42517</v>
      </c>
      <c r="U168" s="719">
        <v>24563.7</v>
      </c>
      <c r="V168" s="689">
        <f t="shared" ref="V168:Z168" si="349">V167+1</f>
        <v>42881</v>
      </c>
      <c r="W168" s="768">
        <v>22516.65</v>
      </c>
      <c r="X168" s="689">
        <f t="shared" ref="X168" si="350">X167+1</f>
        <v>43245</v>
      </c>
      <c r="Y168" s="768">
        <v>19032.09</v>
      </c>
      <c r="Z168" s="689">
        <f t="shared" si="349"/>
        <v>43609</v>
      </c>
      <c r="AA168" s="768">
        <v>22099.25</v>
      </c>
      <c r="AB168" s="689">
        <f t="shared" ref="AB168" si="351">AB167+1</f>
        <v>43973</v>
      </c>
      <c r="AC168" s="774"/>
      <c r="AD168" s="864"/>
      <c r="AJ168" s="751"/>
      <c r="AK168" s="752"/>
      <c r="AL168" s="753"/>
      <c r="AM168" s="762">
        <f t="shared" si="340"/>
        <v>0</v>
      </c>
      <c r="AN168" s="763">
        <f t="shared" si="345"/>
        <v>44337</v>
      </c>
    </row>
    <row r="169" spans="1:40" hidden="1">
      <c r="A169" s="7">
        <v>5</v>
      </c>
      <c r="B169">
        <v>4</v>
      </c>
      <c r="C169" t="s">
        <v>108</v>
      </c>
      <c r="D169" s="697">
        <v>39592</v>
      </c>
      <c r="E169" s="695">
        <v>22286.26</v>
      </c>
      <c r="F169" s="697">
        <v>39956</v>
      </c>
      <c r="G169" s="695">
        <v>18238.099999999999</v>
      </c>
      <c r="H169" s="697">
        <v>40320</v>
      </c>
      <c r="I169" s="695">
        <v>26490.95</v>
      </c>
      <c r="J169" s="683">
        <v>40684</v>
      </c>
      <c r="K169" s="695">
        <v>24301.55</v>
      </c>
      <c r="L169" s="683">
        <v>41055</v>
      </c>
      <c r="M169" s="707">
        <v>15772.7</v>
      </c>
      <c r="N169" s="683">
        <v>41419</v>
      </c>
      <c r="O169" s="690">
        <v>20132.91</v>
      </c>
      <c r="P169" s="689">
        <v>41783</v>
      </c>
      <c r="Q169" s="686">
        <v>17025.560000000001</v>
      </c>
      <c r="R169" s="689">
        <f t="shared" si="341"/>
        <v>42147</v>
      </c>
      <c r="S169" s="719">
        <v>21704.6</v>
      </c>
      <c r="T169" s="689">
        <f t="shared" si="341"/>
        <v>42518</v>
      </c>
      <c r="U169" s="719">
        <v>18888.55</v>
      </c>
      <c r="V169" s="689">
        <f t="shared" ref="V169:Z169" si="352">V168+1</f>
        <v>42882</v>
      </c>
      <c r="W169" s="768">
        <v>21900.85</v>
      </c>
      <c r="X169" s="689">
        <f t="shared" ref="X169" si="353">X168+1</f>
        <v>43246</v>
      </c>
      <c r="Y169" s="768">
        <v>17511.13</v>
      </c>
      <c r="Z169" s="689">
        <f t="shared" si="352"/>
        <v>43610</v>
      </c>
      <c r="AA169" s="768">
        <v>17250.57</v>
      </c>
      <c r="AB169" s="689">
        <f t="shared" ref="AB169" si="354">AB168+1</f>
        <v>43974</v>
      </c>
      <c r="AC169" s="774"/>
      <c r="AD169" s="864"/>
      <c r="AJ169" s="751"/>
      <c r="AK169" s="752"/>
      <c r="AL169" s="753"/>
      <c r="AM169" s="762">
        <f t="shared" si="340"/>
        <v>0</v>
      </c>
      <c r="AN169" s="763">
        <f t="shared" si="345"/>
        <v>44338</v>
      </c>
    </row>
    <row r="170" spans="1:40" ht="15.75" hidden="1" thickBot="1">
      <c r="A170" s="12">
        <v>5</v>
      </c>
      <c r="B170" s="14">
        <v>4</v>
      </c>
      <c r="C170" s="14" t="s">
        <v>109</v>
      </c>
      <c r="D170" s="697">
        <v>39593</v>
      </c>
      <c r="E170" s="695">
        <v>11559.36</v>
      </c>
      <c r="F170" s="699">
        <v>39957</v>
      </c>
      <c r="G170" s="695">
        <v>11286.87</v>
      </c>
      <c r="H170" s="699">
        <v>40321</v>
      </c>
      <c r="I170" s="695">
        <v>9038.15</v>
      </c>
      <c r="J170" s="700">
        <v>40685</v>
      </c>
      <c r="K170" s="695">
        <v>12627.21</v>
      </c>
      <c r="L170" s="683">
        <v>41056</v>
      </c>
      <c r="M170" s="707">
        <v>12841.46</v>
      </c>
      <c r="N170" s="683">
        <v>41420</v>
      </c>
      <c r="O170" s="690">
        <v>9525.81</v>
      </c>
      <c r="P170" s="689">
        <v>41784</v>
      </c>
      <c r="Q170" s="686">
        <v>12036.36</v>
      </c>
      <c r="R170" s="761">
        <f t="shared" si="341"/>
        <v>42148</v>
      </c>
      <c r="S170" s="723">
        <v>14471.7</v>
      </c>
      <c r="T170" s="761">
        <f t="shared" si="341"/>
        <v>42519</v>
      </c>
      <c r="U170" s="723">
        <v>13718</v>
      </c>
      <c r="V170" s="761">
        <f t="shared" ref="V170:Z170" si="355">V169+1</f>
        <v>42883</v>
      </c>
      <c r="W170" s="769">
        <v>16318</v>
      </c>
      <c r="X170" s="761">
        <f t="shared" ref="X170" si="356">X169+1</f>
        <v>43247</v>
      </c>
      <c r="Y170" s="769">
        <v>18085.439999999999</v>
      </c>
      <c r="Z170" s="761">
        <f t="shared" si="355"/>
        <v>43611</v>
      </c>
      <c r="AA170" s="769">
        <v>14003.39</v>
      </c>
      <c r="AB170" s="761">
        <f t="shared" ref="AB170" si="357">AB169+1</f>
        <v>43975</v>
      </c>
      <c r="AC170" s="775"/>
      <c r="AD170" s="865"/>
      <c r="AE170" s="203">
        <f>SUM(E164:E170)</f>
        <v>111399.51</v>
      </c>
      <c r="AF170" s="203">
        <f>SUM(G164:G170)</f>
        <v>97232.25</v>
      </c>
      <c r="AG170" s="203">
        <f>SUM(I164:I170)</f>
        <v>104247.84999999999</v>
      </c>
      <c r="AH170" s="203">
        <f>SUM(K164:K170)</f>
        <v>118503.86000000002</v>
      </c>
      <c r="AI170" s="203">
        <f>SUM(M164:M170)</f>
        <v>103697.57999999999</v>
      </c>
      <c r="AJ170" s="751"/>
      <c r="AK170" s="752"/>
      <c r="AL170" s="754"/>
      <c r="AM170" s="762">
        <f t="shared" si="340"/>
        <v>0</v>
      </c>
      <c r="AN170" s="763">
        <f t="shared" si="345"/>
        <v>44339</v>
      </c>
    </row>
    <row r="171" spans="1:40" s="428" customFormat="1" ht="15.75" hidden="1" thickBot="1">
      <c r="A171" s="486"/>
      <c r="C171" s="809" t="s">
        <v>282</v>
      </c>
      <c r="D171" s="810"/>
      <c r="E171" s="811"/>
      <c r="F171" s="810"/>
      <c r="G171" s="811"/>
      <c r="H171" s="810"/>
      <c r="I171" s="811"/>
      <c r="J171" s="812"/>
      <c r="K171" s="813"/>
      <c r="L171" s="812"/>
      <c r="M171" s="813"/>
      <c r="N171" s="812"/>
      <c r="O171" s="814">
        <f>SUM(O164:O170)</f>
        <v>99509.09</v>
      </c>
      <c r="P171" s="812"/>
      <c r="Q171" s="814">
        <f>SUM(Q164:Q170)</f>
        <v>104007.89</v>
      </c>
      <c r="R171" s="815"/>
      <c r="S171" s="816">
        <f>SUM(S164:S170)</f>
        <v>115536.81999999999</v>
      </c>
      <c r="T171" s="815"/>
      <c r="U171" s="816">
        <f>SUM(U164:U170)</f>
        <v>107059.28</v>
      </c>
      <c r="V171" s="815"/>
      <c r="W171" s="816">
        <f>SUM(W164:W170)</f>
        <v>118367.67000000001</v>
      </c>
      <c r="X171" s="815"/>
      <c r="Y171" s="816">
        <f>SUM(Y164:Y170)</f>
        <v>105600</v>
      </c>
      <c r="Z171" s="815"/>
      <c r="AA171" s="816">
        <f>SUM(AA164:AA170)</f>
        <v>110370.92</v>
      </c>
      <c r="AB171" s="815"/>
      <c r="AC171" s="816">
        <f>SUM(AC164:AC170)</f>
        <v>0</v>
      </c>
      <c r="AD171" s="819"/>
      <c r="AE171" s="822"/>
      <c r="AF171" s="822"/>
      <c r="AG171" s="822"/>
      <c r="AH171" s="822"/>
      <c r="AI171" s="822"/>
      <c r="AJ171" s="820">
        <f>SUM(AJ164:AJ170)</f>
        <v>0</v>
      </c>
      <c r="AK171" s="823">
        <f>SUM(AK164:AK170)</f>
        <v>0</v>
      </c>
      <c r="AL171" s="823">
        <f>SUM(AL164:AL170)</f>
        <v>0</v>
      </c>
      <c r="AM171" s="821">
        <f>SUM(AM164:AM170)</f>
        <v>0</v>
      </c>
    </row>
    <row r="172" spans="1:40" ht="15.75" hidden="1" thickBot="1">
      <c r="A172" s="5">
        <v>6</v>
      </c>
      <c r="B172" s="16">
        <v>1</v>
      </c>
      <c r="C172" s="16" t="s">
        <v>103</v>
      </c>
      <c r="D172" s="699">
        <v>39594</v>
      </c>
      <c r="E172" s="695">
        <v>7558.19</v>
      </c>
      <c r="F172" s="694">
        <v>39958</v>
      </c>
      <c r="G172" s="695">
        <v>10814.96</v>
      </c>
      <c r="H172" s="694">
        <v>40322</v>
      </c>
      <c r="I172" s="695">
        <v>8367.74</v>
      </c>
      <c r="J172" s="701">
        <v>40686</v>
      </c>
      <c r="K172" s="695">
        <v>10131.02</v>
      </c>
      <c r="L172" s="683">
        <v>41057</v>
      </c>
      <c r="M172" s="707">
        <v>6025.35</v>
      </c>
      <c r="N172" s="683">
        <v>41421</v>
      </c>
      <c r="O172" s="690">
        <v>7315.75</v>
      </c>
      <c r="P172" s="689">
        <v>41785</v>
      </c>
      <c r="Q172" s="686">
        <v>7227.45</v>
      </c>
      <c r="R172" s="635">
        <f>R170+1</f>
        <v>42149</v>
      </c>
      <c r="S172" s="717">
        <v>6645.5</v>
      </c>
      <c r="T172" s="635">
        <f>T170+1</f>
        <v>42520</v>
      </c>
      <c r="U172" s="776">
        <v>11225.4</v>
      </c>
      <c r="V172" s="635">
        <f>V170+1</f>
        <v>42884</v>
      </c>
      <c r="W172" s="776">
        <v>11838.15</v>
      </c>
      <c r="X172" s="635">
        <f>X170+1</f>
        <v>43248</v>
      </c>
      <c r="Y172" s="776">
        <v>10670.23</v>
      </c>
      <c r="Z172" s="635">
        <f>Z170+1</f>
        <v>43612</v>
      </c>
      <c r="AA172" s="776">
        <v>8921.33</v>
      </c>
      <c r="AB172" s="635">
        <f>AB170+1</f>
        <v>43976</v>
      </c>
      <c r="AC172" s="772"/>
      <c r="AD172" s="863" t="s">
        <v>131</v>
      </c>
      <c r="AJ172" s="751"/>
      <c r="AK172" s="752"/>
      <c r="AL172" s="752"/>
      <c r="AM172" s="762">
        <f t="shared" ref="AM172:AM178" si="358">SUM(AJ172:AL172)</f>
        <v>0</v>
      </c>
      <c r="AN172" s="763">
        <f>AN170+1</f>
        <v>44340</v>
      </c>
    </row>
    <row r="173" spans="1:40" hidden="1">
      <c r="A173" s="7">
        <v>6</v>
      </c>
      <c r="B173">
        <v>1</v>
      </c>
      <c r="C173" t="s">
        <v>104</v>
      </c>
      <c r="D173" s="694">
        <v>39595</v>
      </c>
      <c r="E173" s="695">
        <v>9515.9</v>
      </c>
      <c r="F173" s="697">
        <v>39959</v>
      </c>
      <c r="G173" s="695">
        <v>7633.28</v>
      </c>
      <c r="H173" s="697">
        <v>40323</v>
      </c>
      <c r="I173" s="695">
        <v>11641.14</v>
      </c>
      <c r="J173" s="683">
        <v>40687</v>
      </c>
      <c r="K173" s="695">
        <v>9961.64</v>
      </c>
      <c r="L173" s="683">
        <v>41058</v>
      </c>
      <c r="M173" s="707">
        <v>7826.35</v>
      </c>
      <c r="N173" s="683">
        <v>41422</v>
      </c>
      <c r="O173" s="690">
        <v>9663.5</v>
      </c>
      <c r="P173" s="689">
        <v>41786</v>
      </c>
      <c r="Q173" s="686">
        <v>6637.55</v>
      </c>
      <c r="R173" s="689">
        <f>R172+1</f>
        <v>42150</v>
      </c>
      <c r="S173" s="719">
        <v>11827.04</v>
      </c>
      <c r="T173" s="689">
        <f>T172+1</f>
        <v>42521</v>
      </c>
      <c r="U173" s="827">
        <v>9930.07</v>
      </c>
      <c r="V173" s="689">
        <f>V172+1</f>
        <v>42885</v>
      </c>
      <c r="W173" s="827">
        <v>7098.75</v>
      </c>
      <c r="X173" s="689">
        <f>X172+1</f>
        <v>43249</v>
      </c>
      <c r="Y173" s="827">
        <v>8209.0499999999993</v>
      </c>
      <c r="Z173" s="689">
        <f>Z172+1</f>
        <v>43613</v>
      </c>
      <c r="AA173" s="827">
        <v>11910.14</v>
      </c>
      <c r="AB173" s="689">
        <f>AB172+1</f>
        <v>43977</v>
      </c>
      <c r="AC173" s="818"/>
      <c r="AD173" s="864"/>
      <c r="AJ173" s="751"/>
      <c r="AK173" s="752"/>
      <c r="AL173" s="753"/>
      <c r="AM173" s="762">
        <f t="shared" si="358"/>
        <v>0</v>
      </c>
      <c r="AN173" s="763">
        <f>AN172+1</f>
        <v>44341</v>
      </c>
    </row>
    <row r="174" spans="1:40" hidden="1">
      <c r="A174" s="7">
        <v>6</v>
      </c>
      <c r="B174">
        <v>1</v>
      </c>
      <c r="C174" t="s">
        <v>105</v>
      </c>
      <c r="D174" s="697">
        <v>39596</v>
      </c>
      <c r="E174" s="695">
        <v>13169.49</v>
      </c>
      <c r="F174" s="697">
        <v>39960</v>
      </c>
      <c r="G174" s="695">
        <v>11221.59</v>
      </c>
      <c r="H174" s="697">
        <v>40324</v>
      </c>
      <c r="I174" s="695">
        <v>13848.62</v>
      </c>
      <c r="J174" s="683">
        <v>40688</v>
      </c>
      <c r="K174" s="695">
        <v>12868.65</v>
      </c>
      <c r="L174" s="683">
        <v>41059</v>
      </c>
      <c r="M174" s="707">
        <v>12927.35</v>
      </c>
      <c r="N174" s="683">
        <v>41423</v>
      </c>
      <c r="O174" s="690">
        <v>14600.11</v>
      </c>
      <c r="P174" s="689">
        <v>41787</v>
      </c>
      <c r="Q174" s="686">
        <v>13014.4</v>
      </c>
      <c r="R174" s="689">
        <f t="shared" ref="R174:T178" si="359">R173+1</f>
        <v>42151</v>
      </c>
      <c r="S174" s="719">
        <v>17880.62</v>
      </c>
      <c r="T174" s="689">
        <f t="shared" si="359"/>
        <v>42522</v>
      </c>
      <c r="U174" s="777">
        <v>15691.31</v>
      </c>
      <c r="V174" s="689">
        <f t="shared" ref="V174:Z174" si="360">V173+1</f>
        <v>42886</v>
      </c>
      <c r="W174" s="777">
        <v>13382.81</v>
      </c>
      <c r="X174" s="689">
        <f t="shared" ref="X174" si="361">X173+1</f>
        <v>43250</v>
      </c>
      <c r="Y174" s="777">
        <v>11231.92</v>
      </c>
      <c r="Z174" s="689">
        <f t="shared" si="360"/>
        <v>43614</v>
      </c>
      <c r="AA174" s="777">
        <v>16269.94</v>
      </c>
      <c r="AB174" s="689">
        <f t="shared" ref="AB174" si="362">AB173+1</f>
        <v>43978</v>
      </c>
      <c r="AC174" s="774"/>
      <c r="AD174" s="864"/>
      <c r="AJ174" s="751"/>
      <c r="AK174" s="752"/>
      <c r="AL174" s="753"/>
      <c r="AM174" s="762">
        <f t="shared" si="358"/>
        <v>0</v>
      </c>
      <c r="AN174" s="763">
        <f t="shared" ref="AN174:AN178" si="363">AN173+1</f>
        <v>44342</v>
      </c>
    </row>
    <row r="175" spans="1:40" hidden="1">
      <c r="A175" s="7">
        <v>6</v>
      </c>
      <c r="B175">
        <v>1</v>
      </c>
      <c r="C175" t="s">
        <v>106</v>
      </c>
      <c r="D175" s="697">
        <v>39597</v>
      </c>
      <c r="E175" s="695">
        <v>15925.19</v>
      </c>
      <c r="F175" s="697">
        <v>39961</v>
      </c>
      <c r="G175" s="695">
        <v>13318.4</v>
      </c>
      <c r="H175" s="697">
        <v>40325</v>
      </c>
      <c r="I175" s="695">
        <v>12970.76</v>
      </c>
      <c r="J175" s="683">
        <v>40689</v>
      </c>
      <c r="K175" s="695">
        <v>14551.31</v>
      </c>
      <c r="L175" s="683">
        <v>41060</v>
      </c>
      <c r="M175" s="707">
        <v>13966.26</v>
      </c>
      <c r="N175" s="683">
        <v>41424</v>
      </c>
      <c r="O175" s="690">
        <v>14249.7</v>
      </c>
      <c r="P175" s="689">
        <v>41788</v>
      </c>
      <c r="Q175" s="686">
        <v>14019.8</v>
      </c>
      <c r="R175" s="689">
        <f t="shared" si="359"/>
        <v>42152</v>
      </c>
      <c r="S175" s="719">
        <v>17084.41</v>
      </c>
      <c r="T175" s="689">
        <f t="shared" si="359"/>
        <v>42523</v>
      </c>
      <c r="U175" s="777">
        <v>12085.66</v>
      </c>
      <c r="V175" s="689">
        <f t="shared" ref="V175:Z175" si="364">V174+1</f>
        <v>42887</v>
      </c>
      <c r="W175" s="777">
        <v>12911.45</v>
      </c>
      <c r="X175" s="689">
        <f t="shared" ref="X175" si="365">X174+1</f>
        <v>43251</v>
      </c>
      <c r="Y175" s="777">
        <v>15563.16</v>
      </c>
      <c r="Z175" s="689">
        <f t="shared" si="364"/>
        <v>43615</v>
      </c>
      <c r="AA175" s="777">
        <v>14218.9</v>
      </c>
      <c r="AB175" s="689">
        <f t="shared" ref="AB175" si="366">AB174+1</f>
        <v>43979</v>
      </c>
      <c r="AC175" s="774"/>
      <c r="AD175" s="864"/>
      <c r="AJ175" s="751"/>
      <c r="AK175" s="752"/>
      <c r="AL175" s="753"/>
      <c r="AM175" s="762">
        <f t="shared" si="358"/>
        <v>0</v>
      </c>
      <c r="AN175" s="763">
        <f t="shared" si="363"/>
        <v>44343</v>
      </c>
    </row>
    <row r="176" spans="1:40" hidden="1">
      <c r="A176" s="7">
        <v>6</v>
      </c>
      <c r="B176">
        <v>1</v>
      </c>
      <c r="C176" t="s">
        <v>107</v>
      </c>
      <c r="D176" s="697">
        <v>39598</v>
      </c>
      <c r="E176" s="695">
        <v>19552.5</v>
      </c>
      <c r="F176" s="697">
        <v>39962</v>
      </c>
      <c r="G176" s="695">
        <v>18483.900000000001</v>
      </c>
      <c r="H176" s="697">
        <v>40326</v>
      </c>
      <c r="I176" s="695">
        <v>20656.05</v>
      </c>
      <c r="J176" s="683">
        <v>40690</v>
      </c>
      <c r="K176" s="695">
        <v>17967.72</v>
      </c>
      <c r="L176" s="683">
        <v>41061</v>
      </c>
      <c r="M176" s="707">
        <v>16383.4</v>
      </c>
      <c r="N176" s="683">
        <v>41425</v>
      </c>
      <c r="O176" s="690">
        <v>14900.79</v>
      </c>
      <c r="P176" s="689">
        <v>41789</v>
      </c>
      <c r="Q176" s="686">
        <v>18877.95</v>
      </c>
      <c r="R176" s="689">
        <f t="shared" si="359"/>
        <v>42153</v>
      </c>
      <c r="S176" s="719">
        <v>19852.7</v>
      </c>
      <c r="T176" s="689">
        <f t="shared" si="359"/>
        <v>42524</v>
      </c>
      <c r="U176" s="777">
        <v>21772.2</v>
      </c>
      <c r="V176" s="689">
        <f t="shared" ref="V176:Z176" si="367">V175+1</f>
        <v>42888</v>
      </c>
      <c r="W176" s="777">
        <v>18430.86</v>
      </c>
      <c r="X176" s="689">
        <f t="shared" ref="X176" si="368">X175+1</f>
        <v>43252</v>
      </c>
      <c r="Y176" s="777">
        <v>20353.349999999999</v>
      </c>
      <c r="Z176" s="689">
        <f t="shared" si="367"/>
        <v>43616</v>
      </c>
      <c r="AA176" s="777">
        <v>18604.28</v>
      </c>
      <c r="AB176" s="689">
        <f t="shared" ref="AB176" si="369">AB175+1</f>
        <v>43980</v>
      </c>
      <c r="AC176" s="774"/>
      <c r="AD176" s="864"/>
      <c r="AJ176" s="751"/>
      <c r="AK176" s="752"/>
      <c r="AL176" s="753"/>
      <c r="AM176" s="762">
        <f t="shared" si="358"/>
        <v>0</v>
      </c>
      <c r="AN176" s="763">
        <f t="shared" si="363"/>
        <v>44344</v>
      </c>
    </row>
    <row r="177" spans="1:40" hidden="1">
      <c r="A177" s="7">
        <v>6</v>
      </c>
      <c r="B177">
        <v>1</v>
      </c>
      <c r="C177" t="s">
        <v>108</v>
      </c>
      <c r="D177" s="697">
        <v>39599</v>
      </c>
      <c r="E177" s="695">
        <v>25830.3</v>
      </c>
      <c r="F177" s="697">
        <v>39963</v>
      </c>
      <c r="G177" s="695">
        <v>22393.82</v>
      </c>
      <c r="H177" s="697">
        <v>40327</v>
      </c>
      <c r="I177" s="695">
        <v>12963.31</v>
      </c>
      <c r="J177" s="683">
        <v>40691</v>
      </c>
      <c r="K177" s="695">
        <v>18840</v>
      </c>
      <c r="L177" s="683">
        <v>41062</v>
      </c>
      <c r="M177" s="707">
        <v>20386.5</v>
      </c>
      <c r="N177" s="683">
        <v>41426</v>
      </c>
      <c r="O177" s="690">
        <v>23837.35</v>
      </c>
      <c r="P177" s="689">
        <v>41790</v>
      </c>
      <c r="Q177" s="686">
        <v>20412.75</v>
      </c>
      <c r="R177" s="689">
        <f t="shared" si="359"/>
        <v>42154</v>
      </c>
      <c r="S177" s="719">
        <v>23816.799999999999</v>
      </c>
      <c r="T177" s="689">
        <f t="shared" si="359"/>
        <v>42525</v>
      </c>
      <c r="U177" s="777">
        <v>20191.45</v>
      </c>
      <c r="V177" s="689">
        <f t="shared" ref="V177:Z177" si="370">V176+1</f>
        <v>42889</v>
      </c>
      <c r="W177" s="777">
        <v>23077.3</v>
      </c>
      <c r="X177" s="689">
        <f t="shared" ref="X177" si="371">X176+1</f>
        <v>43253</v>
      </c>
      <c r="Y177" s="777">
        <v>24765.26</v>
      </c>
      <c r="Z177" s="689">
        <f t="shared" si="370"/>
        <v>43617</v>
      </c>
      <c r="AA177" s="777">
        <v>22485.81</v>
      </c>
      <c r="AB177" s="689">
        <f t="shared" ref="AB177" si="372">AB176+1</f>
        <v>43981</v>
      </c>
      <c r="AC177" s="774"/>
      <c r="AD177" s="864"/>
      <c r="AJ177" s="751"/>
      <c r="AK177" s="752"/>
      <c r="AL177" s="753"/>
      <c r="AM177" s="762">
        <f t="shared" si="358"/>
        <v>0</v>
      </c>
      <c r="AN177" s="763">
        <f t="shared" si="363"/>
        <v>44345</v>
      </c>
    </row>
    <row r="178" spans="1:40" ht="15.75" hidden="1" thickBot="1">
      <c r="A178" s="12">
        <v>6</v>
      </c>
      <c r="B178" s="14">
        <v>1</v>
      </c>
      <c r="C178" s="14" t="s">
        <v>109</v>
      </c>
      <c r="D178" s="697">
        <v>39600</v>
      </c>
      <c r="E178" s="695">
        <v>8795.15</v>
      </c>
      <c r="F178" s="699">
        <v>39964</v>
      </c>
      <c r="G178" s="695">
        <v>7412.81</v>
      </c>
      <c r="H178" s="699">
        <v>40328</v>
      </c>
      <c r="I178" s="695">
        <v>9830.35</v>
      </c>
      <c r="J178" s="700">
        <v>40692</v>
      </c>
      <c r="K178" s="695">
        <v>8178.93</v>
      </c>
      <c r="L178" s="683">
        <v>41063</v>
      </c>
      <c r="M178" s="707">
        <v>12096.4</v>
      </c>
      <c r="N178" s="683">
        <v>41427</v>
      </c>
      <c r="O178" s="690">
        <v>9541.7099999999991</v>
      </c>
      <c r="P178" s="689">
        <v>41791</v>
      </c>
      <c r="Q178" s="686">
        <v>10901.8</v>
      </c>
      <c r="R178" s="761">
        <f t="shared" si="359"/>
        <v>42155</v>
      </c>
      <c r="S178" s="723">
        <v>14118.7</v>
      </c>
      <c r="T178" s="761">
        <f t="shared" si="359"/>
        <v>42526</v>
      </c>
      <c r="U178" s="817">
        <v>14414.75</v>
      </c>
      <c r="V178" s="761">
        <f t="shared" ref="V178:Z178" si="373">V177+1</f>
        <v>42890</v>
      </c>
      <c r="W178" s="817">
        <v>15188.1</v>
      </c>
      <c r="X178" s="761">
        <f t="shared" ref="X178" si="374">X177+1</f>
        <v>43254</v>
      </c>
      <c r="Y178" s="817">
        <v>16041.1</v>
      </c>
      <c r="Z178" s="761">
        <f t="shared" si="373"/>
        <v>43618</v>
      </c>
      <c r="AA178" s="817">
        <v>12195.64</v>
      </c>
      <c r="AB178" s="761">
        <f t="shared" ref="AB178" si="375">AB177+1</f>
        <v>43982</v>
      </c>
      <c r="AC178" s="775"/>
      <c r="AD178" s="865"/>
      <c r="AE178" s="203">
        <f>SUM(E172:E178)</f>
        <v>100346.72</v>
      </c>
      <c r="AF178" s="203">
        <f>SUM(G172:G178)</f>
        <v>91278.76</v>
      </c>
      <c r="AG178" s="203">
        <f>SUM(I172:I178)</f>
        <v>90277.97</v>
      </c>
      <c r="AH178" s="203">
        <f>SUM(K172:K178)</f>
        <v>92499.26999999999</v>
      </c>
      <c r="AI178" s="203">
        <f>SUM(M172:M178)</f>
        <v>89611.61</v>
      </c>
      <c r="AJ178" s="751"/>
      <c r="AK178" s="752"/>
      <c r="AL178" s="754"/>
      <c r="AM178" s="762">
        <f t="shared" si="358"/>
        <v>0</v>
      </c>
      <c r="AN178" s="763">
        <f t="shared" si="363"/>
        <v>44346</v>
      </c>
    </row>
    <row r="179" spans="1:40" s="428" customFormat="1" ht="15.75" hidden="1" thickBot="1">
      <c r="A179" s="486"/>
      <c r="C179" s="809" t="s">
        <v>282</v>
      </c>
      <c r="D179" s="810"/>
      <c r="E179" s="811"/>
      <c r="F179" s="810"/>
      <c r="G179" s="811"/>
      <c r="H179" s="810"/>
      <c r="I179" s="811"/>
      <c r="J179" s="812"/>
      <c r="K179" s="813"/>
      <c r="L179" s="812"/>
      <c r="M179" s="813"/>
      <c r="N179" s="812"/>
      <c r="O179" s="814">
        <f>SUM(O172:O178)</f>
        <v>94108.91</v>
      </c>
      <c r="P179" s="812"/>
      <c r="Q179" s="814">
        <f>SUM(Q172:Q178)</f>
        <v>91091.7</v>
      </c>
      <c r="R179" s="815"/>
      <c r="S179" s="816">
        <f>SUM(S172:S178)</f>
        <v>111225.77</v>
      </c>
      <c r="T179" s="815"/>
      <c r="U179" s="816">
        <f>SUM(U172:U178)</f>
        <v>105310.84</v>
      </c>
      <c r="V179" s="815"/>
      <c r="W179" s="816">
        <f>SUM(W172:W178)</f>
        <v>101927.42000000001</v>
      </c>
      <c r="X179" s="815"/>
      <c r="Y179" s="816">
        <f>SUM(Y172:Y178)</f>
        <v>106834.06999999999</v>
      </c>
      <c r="Z179" s="815"/>
      <c r="AA179" s="816">
        <f>SUM(AA172:AA178)</f>
        <v>104606.04</v>
      </c>
      <c r="AB179" s="815"/>
      <c r="AC179" s="816">
        <f>SUM(AC172:AC178)</f>
        <v>0</v>
      </c>
      <c r="AD179" s="758"/>
      <c r="AE179" s="822"/>
      <c r="AF179" s="822"/>
      <c r="AG179" s="822"/>
      <c r="AH179" s="822"/>
      <c r="AI179" s="822"/>
      <c r="AJ179" s="820">
        <f>SUM(AJ172:AJ178)</f>
        <v>0</v>
      </c>
      <c r="AK179" s="823">
        <f>SUM(AK172:AK178)</f>
        <v>0</v>
      </c>
      <c r="AL179" s="823">
        <f>SUM(AL172:AL178)</f>
        <v>0</v>
      </c>
      <c r="AM179" s="821">
        <f>SUM(AM172:AM178)</f>
        <v>0</v>
      </c>
    </row>
    <row r="180" spans="1:40" ht="15.75" hidden="1" thickBot="1">
      <c r="A180" s="5">
        <v>6</v>
      </c>
      <c r="B180" s="16">
        <v>2</v>
      </c>
      <c r="C180" s="16" t="s">
        <v>103</v>
      </c>
      <c r="D180" s="699">
        <v>39601</v>
      </c>
      <c r="E180" s="695">
        <v>10832.71</v>
      </c>
      <c r="F180" s="694">
        <v>39965</v>
      </c>
      <c r="G180" s="695">
        <v>14717.6</v>
      </c>
      <c r="H180" s="694">
        <v>40329</v>
      </c>
      <c r="I180" s="695">
        <v>9093.89</v>
      </c>
      <c r="J180" s="701">
        <v>40693</v>
      </c>
      <c r="K180" s="695">
        <v>6542.05</v>
      </c>
      <c r="L180" s="683">
        <v>41064</v>
      </c>
      <c r="M180" s="707">
        <v>13336.61</v>
      </c>
      <c r="N180" s="683">
        <v>41428</v>
      </c>
      <c r="O180" s="690">
        <v>9044.86</v>
      </c>
      <c r="P180" s="689">
        <v>41792</v>
      </c>
      <c r="Q180" s="686">
        <v>8578.2999999999993</v>
      </c>
      <c r="R180" s="635">
        <f>R178+1</f>
        <v>42156</v>
      </c>
      <c r="S180" s="776">
        <v>12981.9</v>
      </c>
      <c r="T180" s="635">
        <f>T178+1</f>
        <v>42527</v>
      </c>
      <c r="U180" s="776">
        <v>12948.9</v>
      </c>
      <c r="V180" s="635">
        <f>V178+1</f>
        <v>42891</v>
      </c>
      <c r="W180" s="776">
        <v>12589.2</v>
      </c>
      <c r="X180" s="635">
        <f>X178+1</f>
        <v>43255</v>
      </c>
      <c r="Y180" s="776">
        <v>12353</v>
      </c>
      <c r="Z180" s="635">
        <f>Z178+1</f>
        <v>43619</v>
      </c>
      <c r="AA180" s="776">
        <v>10963.42</v>
      </c>
      <c r="AB180" s="635">
        <f>AB178+1</f>
        <v>43983</v>
      </c>
      <c r="AC180" s="772"/>
      <c r="AD180" s="863" t="s">
        <v>132</v>
      </c>
      <c r="AJ180" s="751"/>
      <c r="AK180" s="752"/>
      <c r="AL180" s="752"/>
      <c r="AM180" s="762">
        <f t="shared" ref="AM180:AM186" si="376">SUM(AJ180:AL180)</f>
        <v>0</v>
      </c>
      <c r="AN180" s="763">
        <f>AN178+1</f>
        <v>44347</v>
      </c>
    </row>
    <row r="181" spans="1:40" hidden="1">
      <c r="A181" s="7">
        <v>6</v>
      </c>
      <c r="B181">
        <v>2</v>
      </c>
      <c r="C181" t="s">
        <v>104</v>
      </c>
      <c r="D181" s="694">
        <v>39602</v>
      </c>
      <c r="E181" s="695">
        <v>12538.65</v>
      </c>
      <c r="F181" s="697">
        <v>39966</v>
      </c>
      <c r="G181" s="695">
        <v>10253.56</v>
      </c>
      <c r="H181" s="697">
        <v>40330</v>
      </c>
      <c r="I181" s="695">
        <v>8955.9699999999993</v>
      </c>
      <c r="J181" s="683">
        <v>40694</v>
      </c>
      <c r="K181" s="695">
        <v>9371.5</v>
      </c>
      <c r="L181" s="683">
        <v>41065</v>
      </c>
      <c r="M181" s="707">
        <v>8893.2900000000009</v>
      </c>
      <c r="N181" s="683">
        <v>41429</v>
      </c>
      <c r="O181" s="690">
        <v>9907.19</v>
      </c>
      <c r="P181" s="689">
        <v>41793</v>
      </c>
      <c r="Q181" s="686">
        <v>13500.55</v>
      </c>
      <c r="R181" s="689">
        <f>R180+1</f>
        <v>42157</v>
      </c>
      <c r="S181" s="777">
        <v>13377.5</v>
      </c>
      <c r="T181" s="689">
        <f>T180+1</f>
        <v>42528</v>
      </c>
      <c r="U181" s="827">
        <v>16939.310000000001</v>
      </c>
      <c r="V181" s="689">
        <f>V180+1</f>
        <v>42892</v>
      </c>
      <c r="W181" s="827">
        <v>15593.1</v>
      </c>
      <c r="X181" s="689">
        <f>X180+1</f>
        <v>43256</v>
      </c>
      <c r="Y181" s="827">
        <v>11990.05</v>
      </c>
      <c r="Z181" s="689">
        <f>Z180+1</f>
        <v>43620</v>
      </c>
      <c r="AA181" s="827">
        <v>17504.55</v>
      </c>
      <c r="AB181" s="689">
        <f>AB180+1</f>
        <v>43984</v>
      </c>
      <c r="AC181" s="818"/>
      <c r="AD181" s="864"/>
      <c r="AJ181" s="751"/>
      <c r="AK181" s="752"/>
      <c r="AL181" s="753"/>
      <c r="AM181" s="762">
        <f t="shared" si="376"/>
        <v>0</v>
      </c>
      <c r="AN181" s="763">
        <f>AN180+1</f>
        <v>44348</v>
      </c>
    </row>
    <row r="182" spans="1:40" hidden="1">
      <c r="A182" s="7">
        <v>6</v>
      </c>
      <c r="B182">
        <v>2</v>
      </c>
      <c r="C182" t="s">
        <v>105</v>
      </c>
      <c r="D182" s="697">
        <v>39603</v>
      </c>
      <c r="E182" s="695">
        <v>15484.43</v>
      </c>
      <c r="F182" s="697">
        <v>39967</v>
      </c>
      <c r="G182" s="695">
        <v>14822.06</v>
      </c>
      <c r="H182" s="697">
        <v>40331</v>
      </c>
      <c r="I182" s="695">
        <v>12342.96</v>
      </c>
      <c r="J182" s="683">
        <v>40695</v>
      </c>
      <c r="K182" s="695">
        <v>17768.419999999998</v>
      </c>
      <c r="L182" s="683">
        <v>41066</v>
      </c>
      <c r="M182" s="707">
        <v>13636.96</v>
      </c>
      <c r="N182" s="683">
        <v>41430</v>
      </c>
      <c r="O182" s="690">
        <v>13884.45</v>
      </c>
      <c r="P182" s="689">
        <v>41794</v>
      </c>
      <c r="Q182" s="686">
        <v>11628.51</v>
      </c>
      <c r="R182" s="689">
        <f t="shared" ref="R182:T186" si="377">R181+1</f>
        <v>42158</v>
      </c>
      <c r="S182" s="777">
        <v>16247.68</v>
      </c>
      <c r="T182" s="689">
        <f t="shared" si="377"/>
        <v>42529</v>
      </c>
      <c r="U182" s="777">
        <v>15293.2</v>
      </c>
      <c r="V182" s="689">
        <f t="shared" ref="V182:Z182" si="378">V181+1</f>
        <v>42893</v>
      </c>
      <c r="W182" s="777">
        <v>14645.15</v>
      </c>
      <c r="X182" s="689">
        <f t="shared" ref="X182" si="379">X181+1</f>
        <v>43257</v>
      </c>
      <c r="Y182" s="777">
        <v>15531.39</v>
      </c>
      <c r="Z182" s="689">
        <f t="shared" si="378"/>
        <v>43621</v>
      </c>
      <c r="AA182" s="777">
        <v>16253.07</v>
      </c>
      <c r="AB182" s="689">
        <f t="shared" ref="AB182" si="380">AB181+1</f>
        <v>43985</v>
      </c>
      <c r="AC182" s="774"/>
      <c r="AD182" s="864"/>
      <c r="AJ182" s="751"/>
      <c r="AK182" s="752"/>
      <c r="AL182" s="753"/>
      <c r="AM182" s="762">
        <f t="shared" si="376"/>
        <v>0</v>
      </c>
      <c r="AN182" s="763">
        <f t="shared" ref="AN182:AN186" si="381">AN181+1</f>
        <v>44349</v>
      </c>
    </row>
    <row r="183" spans="1:40" hidden="1">
      <c r="A183" s="7">
        <v>6</v>
      </c>
      <c r="B183">
        <v>2</v>
      </c>
      <c r="C183" t="s">
        <v>106</v>
      </c>
      <c r="D183" s="697">
        <v>39604</v>
      </c>
      <c r="E183" s="695">
        <v>17206.009999999998</v>
      </c>
      <c r="F183" s="697">
        <v>39968</v>
      </c>
      <c r="G183" s="695">
        <v>15337.58</v>
      </c>
      <c r="H183" s="697">
        <v>40332</v>
      </c>
      <c r="I183" s="695">
        <v>14430.81</v>
      </c>
      <c r="J183" s="683">
        <v>40696</v>
      </c>
      <c r="K183" s="695">
        <v>16419.099999999999</v>
      </c>
      <c r="L183" s="683">
        <v>41067</v>
      </c>
      <c r="M183" s="707">
        <v>15756.55</v>
      </c>
      <c r="N183" s="683">
        <v>41431</v>
      </c>
      <c r="O183" s="690">
        <v>11025.1</v>
      </c>
      <c r="P183" s="689">
        <v>41795</v>
      </c>
      <c r="Q183" s="686">
        <v>14232.3</v>
      </c>
      <c r="R183" s="689">
        <f t="shared" si="377"/>
        <v>42159</v>
      </c>
      <c r="S183" s="777">
        <v>18727.580000000002</v>
      </c>
      <c r="T183" s="689">
        <f t="shared" si="377"/>
        <v>42530</v>
      </c>
      <c r="U183" s="777">
        <v>16743.509999999998</v>
      </c>
      <c r="V183" s="689">
        <f t="shared" ref="V183:Z183" si="382">V182+1</f>
        <v>42894</v>
      </c>
      <c r="W183" s="777">
        <v>14356.5</v>
      </c>
      <c r="X183" s="689">
        <f t="shared" ref="X183" si="383">X182+1</f>
        <v>43258</v>
      </c>
      <c r="Y183" s="777">
        <v>16878.580000000002</v>
      </c>
      <c r="Z183" s="689">
        <f t="shared" si="382"/>
        <v>43622</v>
      </c>
      <c r="AA183" s="777">
        <v>18411.61</v>
      </c>
      <c r="AB183" s="689">
        <f t="shared" ref="AB183" si="384">AB182+1</f>
        <v>43986</v>
      </c>
      <c r="AC183" s="774"/>
      <c r="AD183" s="864"/>
      <c r="AJ183" s="751"/>
      <c r="AK183" s="752"/>
      <c r="AL183" s="753"/>
      <c r="AM183" s="762">
        <f t="shared" si="376"/>
        <v>0</v>
      </c>
      <c r="AN183" s="763">
        <f t="shared" si="381"/>
        <v>44350</v>
      </c>
    </row>
    <row r="184" spans="1:40" hidden="1">
      <c r="A184" s="7">
        <v>6</v>
      </c>
      <c r="B184">
        <v>2</v>
      </c>
      <c r="C184" t="s">
        <v>107</v>
      </c>
      <c r="D184" s="697">
        <v>39605</v>
      </c>
      <c r="E184" s="695">
        <v>19963.849999999999</v>
      </c>
      <c r="F184" s="697">
        <v>39969</v>
      </c>
      <c r="G184" s="695">
        <v>16828.98</v>
      </c>
      <c r="H184" s="697">
        <v>40333</v>
      </c>
      <c r="I184" s="695">
        <v>19035.93</v>
      </c>
      <c r="J184" s="683">
        <v>40697</v>
      </c>
      <c r="K184" s="695">
        <v>17978.03</v>
      </c>
      <c r="L184" s="683">
        <v>41068</v>
      </c>
      <c r="M184" s="707">
        <v>17797</v>
      </c>
      <c r="N184" s="683">
        <v>41432</v>
      </c>
      <c r="O184" s="690">
        <v>19844.810000000001</v>
      </c>
      <c r="P184" s="689">
        <v>41796</v>
      </c>
      <c r="Q184" s="686">
        <v>19397.810000000001</v>
      </c>
      <c r="R184" s="689">
        <f t="shared" si="377"/>
        <v>42160</v>
      </c>
      <c r="S184" s="777">
        <v>19287.259999999998</v>
      </c>
      <c r="T184" s="689">
        <f t="shared" si="377"/>
        <v>42531</v>
      </c>
      <c r="U184" s="777">
        <v>21091.75</v>
      </c>
      <c r="V184" s="689">
        <f t="shared" ref="V184:Z184" si="385">V183+1</f>
        <v>42895</v>
      </c>
      <c r="W184" s="777">
        <v>20296.599999999999</v>
      </c>
      <c r="X184" s="689">
        <f t="shared" ref="X184" si="386">X183+1</f>
        <v>43259</v>
      </c>
      <c r="Y184" s="777">
        <v>18318.099999999999</v>
      </c>
      <c r="Z184" s="689">
        <f t="shared" si="385"/>
        <v>43623</v>
      </c>
      <c r="AA184" s="777">
        <v>16126.32</v>
      </c>
      <c r="AB184" s="689">
        <f t="shared" ref="AB184" si="387">AB183+1</f>
        <v>43987</v>
      </c>
      <c r="AC184" s="774"/>
      <c r="AD184" s="864"/>
      <c r="AJ184" s="751"/>
      <c r="AK184" s="752"/>
      <c r="AL184" s="753"/>
      <c r="AM184" s="762">
        <f t="shared" si="376"/>
        <v>0</v>
      </c>
      <c r="AN184" s="763">
        <f t="shared" si="381"/>
        <v>44351</v>
      </c>
    </row>
    <row r="185" spans="1:40" hidden="1">
      <c r="A185" s="7">
        <v>6</v>
      </c>
      <c r="B185">
        <v>2</v>
      </c>
      <c r="C185" t="s">
        <v>108</v>
      </c>
      <c r="D185" s="697">
        <v>39606</v>
      </c>
      <c r="E185" s="695">
        <v>19338.240000000002</v>
      </c>
      <c r="F185" s="697">
        <v>39970</v>
      </c>
      <c r="G185" s="695">
        <v>17716.72</v>
      </c>
      <c r="H185" s="697">
        <v>40334</v>
      </c>
      <c r="I185" s="695">
        <v>20791.150000000001</v>
      </c>
      <c r="J185" s="683">
        <v>40698</v>
      </c>
      <c r="K185" s="695">
        <v>19916.45</v>
      </c>
      <c r="L185" s="683">
        <v>41069</v>
      </c>
      <c r="M185" s="707">
        <v>15794.75</v>
      </c>
      <c r="N185" s="683">
        <v>41433</v>
      </c>
      <c r="O185" s="690">
        <v>21986.720000000001</v>
      </c>
      <c r="P185" s="689">
        <v>41797</v>
      </c>
      <c r="Q185" s="686">
        <v>16980.509999999998</v>
      </c>
      <c r="R185" s="689">
        <f t="shared" si="377"/>
        <v>42161</v>
      </c>
      <c r="S185" s="777">
        <v>21742.1</v>
      </c>
      <c r="T185" s="689">
        <f t="shared" si="377"/>
        <v>42532</v>
      </c>
      <c r="U185" s="777">
        <v>21786.400000000001</v>
      </c>
      <c r="V185" s="689">
        <f t="shared" ref="V185:Z185" si="388">V184+1</f>
        <v>42896</v>
      </c>
      <c r="W185" s="777">
        <v>20253.87</v>
      </c>
      <c r="X185" s="689">
        <f t="shared" ref="X185" si="389">X184+1</f>
        <v>43260</v>
      </c>
      <c r="Y185" s="777">
        <v>19501.91</v>
      </c>
      <c r="Z185" s="689">
        <f t="shared" si="388"/>
        <v>43624</v>
      </c>
      <c r="AA185" s="777">
        <v>18395.22</v>
      </c>
      <c r="AB185" s="689">
        <f t="shared" ref="AB185" si="390">AB184+1</f>
        <v>43988</v>
      </c>
      <c r="AC185" s="774"/>
      <c r="AD185" s="864"/>
      <c r="AJ185" s="751"/>
      <c r="AK185" s="752"/>
      <c r="AL185" s="753"/>
      <c r="AM185" s="762">
        <f t="shared" si="376"/>
        <v>0</v>
      </c>
      <c r="AN185" s="763">
        <f t="shared" si="381"/>
        <v>44352</v>
      </c>
    </row>
    <row r="186" spans="1:40" ht="15.75" hidden="1" thickBot="1">
      <c r="A186" s="12">
        <v>6</v>
      </c>
      <c r="B186" s="14">
        <v>2</v>
      </c>
      <c r="C186" s="14" t="s">
        <v>109</v>
      </c>
      <c r="D186" s="697">
        <v>39607</v>
      </c>
      <c r="E186" s="695">
        <v>5789.04</v>
      </c>
      <c r="F186" s="699">
        <v>39971</v>
      </c>
      <c r="G186" s="695">
        <v>9760.33</v>
      </c>
      <c r="H186" s="699">
        <v>40335</v>
      </c>
      <c r="I186" s="695">
        <v>4199.37</v>
      </c>
      <c r="J186" s="700">
        <v>40699</v>
      </c>
      <c r="K186" s="695">
        <v>6860.2</v>
      </c>
      <c r="L186" s="683">
        <v>41070</v>
      </c>
      <c r="M186" s="707">
        <v>8054.55</v>
      </c>
      <c r="N186" s="683">
        <v>41434</v>
      </c>
      <c r="O186" s="690">
        <v>10661.4</v>
      </c>
      <c r="P186" s="689">
        <v>41798</v>
      </c>
      <c r="Q186" s="686">
        <v>10220.85</v>
      </c>
      <c r="R186" s="761">
        <f t="shared" si="377"/>
        <v>42162</v>
      </c>
      <c r="S186" s="778">
        <v>12734.45</v>
      </c>
      <c r="T186" s="761">
        <f t="shared" si="377"/>
        <v>42533</v>
      </c>
      <c r="U186" s="817">
        <v>13278.85</v>
      </c>
      <c r="V186" s="761">
        <f t="shared" ref="V186:Z186" si="391">V185+1</f>
        <v>42897</v>
      </c>
      <c r="W186" s="817">
        <v>15288.59</v>
      </c>
      <c r="X186" s="761">
        <f t="shared" ref="X186" si="392">X185+1</f>
        <v>43261</v>
      </c>
      <c r="Y186" s="817">
        <v>13667.12</v>
      </c>
      <c r="Z186" s="761">
        <f t="shared" si="391"/>
        <v>43625</v>
      </c>
      <c r="AA186" s="817">
        <v>9566.0499999999993</v>
      </c>
      <c r="AB186" s="761">
        <f t="shared" ref="AB186" si="393">AB185+1</f>
        <v>43989</v>
      </c>
      <c r="AC186" s="775"/>
      <c r="AD186" s="865"/>
      <c r="AE186" s="203">
        <f>SUM(E180:E186)</f>
        <v>101152.93</v>
      </c>
      <c r="AF186" s="203">
        <f>SUM(G180:G186)</f>
        <v>99436.83</v>
      </c>
      <c r="AG186" s="203">
        <f>SUM(I180:I186)</f>
        <v>88850.079999999987</v>
      </c>
      <c r="AH186" s="203">
        <f>SUM(K180:K186)</f>
        <v>94855.75</v>
      </c>
      <c r="AI186" s="203">
        <f>SUM(M180:M186)</f>
        <v>93269.71</v>
      </c>
      <c r="AJ186" s="751"/>
      <c r="AK186" s="752"/>
      <c r="AL186" s="754"/>
      <c r="AM186" s="762">
        <f t="shared" si="376"/>
        <v>0</v>
      </c>
      <c r="AN186" s="763">
        <f t="shared" si="381"/>
        <v>44353</v>
      </c>
    </row>
    <row r="187" spans="1:40" s="428" customFormat="1" ht="15.75" hidden="1" thickBot="1">
      <c r="A187" s="486"/>
      <c r="C187" s="809" t="s">
        <v>282</v>
      </c>
      <c r="D187" s="810"/>
      <c r="E187" s="811"/>
      <c r="F187" s="810"/>
      <c r="G187" s="811"/>
      <c r="H187" s="810"/>
      <c r="I187" s="811"/>
      <c r="J187" s="812"/>
      <c r="K187" s="813"/>
      <c r="L187" s="812"/>
      <c r="M187" s="813"/>
      <c r="N187" s="812"/>
      <c r="O187" s="814">
        <f>SUM(O180:O186)</f>
        <v>96354.53</v>
      </c>
      <c r="P187" s="812"/>
      <c r="Q187" s="814">
        <f>SUM(Q180:Q186)</f>
        <v>94538.83</v>
      </c>
      <c r="R187" s="815"/>
      <c r="S187" s="816">
        <f>SUM(S180:S186)</f>
        <v>115098.46999999999</v>
      </c>
      <c r="T187" s="815"/>
      <c r="U187" s="816">
        <f>SUM(U180:U186)</f>
        <v>118081.92000000001</v>
      </c>
      <c r="V187" s="815"/>
      <c r="W187" s="816">
        <f>SUM(W180:W186)</f>
        <v>113023.01</v>
      </c>
      <c r="X187" s="815"/>
      <c r="Y187" s="816">
        <f>SUM(Y180:Y186)</f>
        <v>108240.15</v>
      </c>
      <c r="Z187" s="815"/>
      <c r="AA187" s="816">
        <f>SUM(AA180:AA186)</f>
        <v>107220.24</v>
      </c>
      <c r="AB187" s="815"/>
      <c r="AC187" s="816">
        <f>SUM(AC180:AC186)</f>
        <v>0</v>
      </c>
      <c r="AD187" s="758"/>
      <c r="AE187" s="822"/>
      <c r="AF187" s="822"/>
      <c r="AG187" s="822"/>
      <c r="AH187" s="822"/>
      <c r="AI187" s="822"/>
      <c r="AJ187" s="820">
        <f>SUM(AJ180:AJ186)</f>
        <v>0</v>
      </c>
      <c r="AK187" s="823">
        <f>SUM(AK180:AK186)</f>
        <v>0</v>
      </c>
      <c r="AL187" s="823">
        <f>SUM(AL180:AL186)</f>
        <v>0</v>
      </c>
      <c r="AM187" s="821">
        <f>SUM(AM180:AM186)</f>
        <v>0</v>
      </c>
    </row>
    <row r="188" spans="1:40" ht="15.75" hidden="1" thickBot="1">
      <c r="A188" s="5">
        <v>6</v>
      </c>
      <c r="B188" s="16">
        <v>3</v>
      </c>
      <c r="C188" s="16" t="s">
        <v>103</v>
      </c>
      <c r="D188" s="699">
        <v>39608</v>
      </c>
      <c r="E188" s="695">
        <v>9784.61</v>
      </c>
      <c r="F188" s="694">
        <v>39972</v>
      </c>
      <c r="G188" s="695">
        <v>11552.27</v>
      </c>
      <c r="H188" s="694">
        <v>40336</v>
      </c>
      <c r="I188" s="695">
        <v>9348.44</v>
      </c>
      <c r="J188" s="701">
        <v>40700</v>
      </c>
      <c r="K188" s="695">
        <v>9202.3700000000008</v>
      </c>
      <c r="L188" s="683">
        <v>41071</v>
      </c>
      <c r="M188" s="707">
        <v>10761.99</v>
      </c>
      <c r="N188" s="683">
        <v>41435</v>
      </c>
      <c r="O188" s="690">
        <v>9395.51</v>
      </c>
      <c r="P188" s="689">
        <v>41799</v>
      </c>
      <c r="Q188" s="686">
        <v>7546.25</v>
      </c>
      <c r="R188" s="635">
        <f>R186+1</f>
        <v>42163</v>
      </c>
      <c r="S188" s="776">
        <v>9785.4500000000007</v>
      </c>
      <c r="T188" s="635">
        <f>T186+1</f>
        <v>42534</v>
      </c>
      <c r="U188" s="776">
        <v>12458.7</v>
      </c>
      <c r="V188" s="635">
        <f>V186+1</f>
        <v>42898</v>
      </c>
      <c r="W188" s="776">
        <v>14736.4</v>
      </c>
      <c r="X188" s="635">
        <f>X186+1</f>
        <v>43262</v>
      </c>
      <c r="Y188" s="776">
        <v>10072.379999999999</v>
      </c>
      <c r="Z188" s="635">
        <f>Z186+1</f>
        <v>43626</v>
      </c>
      <c r="AA188" s="776">
        <v>9308.0499999999993</v>
      </c>
      <c r="AB188" s="635">
        <f>AB186+1</f>
        <v>43990</v>
      </c>
      <c r="AC188" s="772"/>
      <c r="AD188" s="863" t="s">
        <v>133</v>
      </c>
      <c r="AJ188" s="751"/>
      <c r="AK188" s="752"/>
      <c r="AL188" s="752"/>
      <c r="AM188" s="762">
        <f t="shared" ref="AM188:AM194" si="394">SUM(AJ188:AL188)</f>
        <v>0</v>
      </c>
      <c r="AN188" s="763">
        <f>AN186+1</f>
        <v>44354</v>
      </c>
    </row>
    <row r="189" spans="1:40" hidden="1">
      <c r="A189" s="7">
        <v>6</v>
      </c>
      <c r="B189">
        <v>3</v>
      </c>
      <c r="C189" t="s">
        <v>104</v>
      </c>
      <c r="D189" s="694">
        <v>39609</v>
      </c>
      <c r="E189" s="695">
        <v>13108.71</v>
      </c>
      <c r="F189" s="697">
        <v>39973</v>
      </c>
      <c r="G189" s="695">
        <v>11314.39</v>
      </c>
      <c r="H189" s="697">
        <v>40337</v>
      </c>
      <c r="I189" s="695">
        <v>12843.37</v>
      </c>
      <c r="J189" s="683">
        <v>40701</v>
      </c>
      <c r="K189" s="695">
        <v>10987.22</v>
      </c>
      <c r="L189" s="683">
        <v>41072</v>
      </c>
      <c r="M189" s="707">
        <v>15204.4</v>
      </c>
      <c r="N189" s="683">
        <v>41436</v>
      </c>
      <c r="O189" s="690">
        <v>13042.45</v>
      </c>
      <c r="P189" s="689">
        <v>41800</v>
      </c>
      <c r="Q189" s="686">
        <v>11380.1</v>
      </c>
      <c r="R189" s="689">
        <f>R188+1</f>
        <v>42164</v>
      </c>
      <c r="S189" s="777">
        <v>13143.6</v>
      </c>
      <c r="T189" s="689">
        <f>T188+1</f>
        <v>42535</v>
      </c>
      <c r="U189" s="827">
        <v>12127.15</v>
      </c>
      <c r="V189" s="689">
        <f>V188+1</f>
        <v>42899</v>
      </c>
      <c r="W189" s="827">
        <v>11840</v>
      </c>
      <c r="X189" s="689">
        <f>X188+1</f>
        <v>43263</v>
      </c>
      <c r="Y189" s="827">
        <v>12852.62</v>
      </c>
      <c r="Z189" s="689">
        <f>Z188+1</f>
        <v>43627</v>
      </c>
      <c r="AA189" s="827">
        <v>12656.96</v>
      </c>
      <c r="AB189" s="689">
        <f>AB188+1</f>
        <v>43991</v>
      </c>
      <c r="AC189" s="818"/>
      <c r="AD189" s="864"/>
      <c r="AJ189" s="751"/>
      <c r="AK189" s="752"/>
      <c r="AL189" s="753"/>
      <c r="AM189" s="762">
        <f t="shared" si="394"/>
        <v>0</v>
      </c>
      <c r="AN189" s="763">
        <f>AN188+1</f>
        <v>44355</v>
      </c>
    </row>
    <row r="190" spans="1:40" hidden="1">
      <c r="A190" s="7">
        <v>6</v>
      </c>
      <c r="B190">
        <v>3</v>
      </c>
      <c r="C190" t="s">
        <v>105</v>
      </c>
      <c r="D190" s="697">
        <v>39610</v>
      </c>
      <c r="E190" s="695">
        <v>17952.560000000001</v>
      </c>
      <c r="F190" s="697">
        <v>39974</v>
      </c>
      <c r="G190" s="695">
        <v>12399.56</v>
      </c>
      <c r="H190" s="697">
        <v>40338</v>
      </c>
      <c r="I190" s="695">
        <v>11323.99</v>
      </c>
      <c r="J190" s="683">
        <v>40702</v>
      </c>
      <c r="K190" s="695">
        <v>15603.67</v>
      </c>
      <c r="L190" s="683">
        <v>41073</v>
      </c>
      <c r="M190" s="707">
        <v>13502.65</v>
      </c>
      <c r="N190" s="683">
        <v>41437</v>
      </c>
      <c r="O190" s="690">
        <v>16286.53</v>
      </c>
      <c r="P190" s="689">
        <v>41801</v>
      </c>
      <c r="Q190" s="686">
        <v>14380.02</v>
      </c>
      <c r="R190" s="689">
        <f t="shared" ref="R190:T194" si="395">R189+1</f>
        <v>42165</v>
      </c>
      <c r="S190" s="777">
        <v>13857.4</v>
      </c>
      <c r="T190" s="689">
        <f t="shared" si="395"/>
        <v>42536</v>
      </c>
      <c r="U190" s="777">
        <v>18802.82</v>
      </c>
      <c r="V190" s="689">
        <f t="shared" ref="V190:Z190" si="396">V189+1</f>
        <v>42900</v>
      </c>
      <c r="W190" s="777">
        <v>16496.349999999999</v>
      </c>
      <c r="X190" s="689">
        <f t="shared" ref="X190" si="397">X189+1</f>
        <v>43264</v>
      </c>
      <c r="Y190" s="777">
        <v>13429.98</v>
      </c>
      <c r="Z190" s="689">
        <f t="shared" si="396"/>
        <v>43628</v>
      </c>
      <c r="AA190" s="777">
        <v>20525.47</v>
      </c>
      <c r="AB190" s="689">
        <f t="shared" ref="AB190" si="398">AB189+1</f>
        <v>43992</v>
      </c>
      <c r="AC190" s="774"/>
      <c r="AD190" s="864"/>
      <c r="AJ190" s="751"/>
      <c r="AK190" s="752"/>
      <c r="AL190" s="753"/>
      <c r="AM190" s="762">
        <f t="shared" si="394"/>
        <v>0</v>
      </c>
      <c r="AN190" s="763">
        <f t="shared" ref="AN190:AN194" si="399">AN189+1</f>
        <v>44356</v>
      </c>
    </row>
    <row r="191" spans="1:40" hidden="1">
      <c r="A191" s="7">
        <v>6</v>
      </c>
      <c r="B191">
        <v>3</v>
      </c>
      <c r="C191" t="s">
        <v>106</v>
      </c>
      <c r="D191" s="697">
        <v>39611</v>
      </c>
      <c r="E191" s="695">
        <v>21004.89</v>
      </c>
      <c r="F191" s="697">
        <v>39975</v>
      </c>
      <c r="G191" s="695">
        <v>17757.599999999999</v>
      </c>
      <c r="H191" s="697">
        <v>40339</v>
      </c>
      <c r="I191" s="695">
        <v>11175.51</v>
      </c>
      <c r="J191" s="683">
        <v>40703</v>
      </c>
      <c r="K191" s="695">
        <v>10564.3</v>
      </c>
      <c r="L191" s="683">
        <v>41074</v>
      </c>
      <c r="M191" s="707">
        <v>13660.34</v>
      </c>
      <c r="N191" s="683">
        <v>41438</v>
      </c>
      <c r="O191" s="690">
        <v>15353.1</v>
      </c>
      <c r="P191" s="689">
        <v>41802</v>
      </c>
      <c r="Q191" s="686">
        <v>18529.95</v>
      </c>
      <c r="R191" s="689">
        <f t="shared" si="395"/>
        <v>42166</v>
      </c>
      <c r="S191" s="777">
        <v>21709.38</v>
      </c>
      <c r="T191" s="689">
        <f t="shared" si="395"/>
        <v>42537</v>
      </c>
      <c r="U191" s="777">
        <v>18589.61</v>
      </c>
      <c r="V191" s="689">
        <f t="shared" ref="V191:Z191" si="400">V190+1</f>
        <v>42901</v>
      </c>
      <c r="W191" s="777">
        <v>16147.75</v>
      </c>
      <c r="X191" s="689">
        <f t="shared" ref="X191" si="401">X190+1</f>
        <v>43265</v>
      </c>
      <c r="Y191" s="777">
        <v>15694.86</v>
      </c>
      <c r="Z191" s="689">
        <f t="shared" si="400"/>
        <v>43629</v>
      </c>
      <c r="AA191" s="777">
        <v>18322.419999999998</v>
      </c>
      <c r="AB191" s="689">
        <f t="shared" ref="AB191" si="402">AB190+1</f>
        <v>43993</v>
      </c>
      <c r="AC191" s="774"/>
      <c r="AD191" s="864"/>
      <c r="AJ191" s="751"/>
      <c r="AK191" s="752"/>
      <c r="AL191" s="753"/>
      <c r="AM191" s="762">
        <f t="shared" si="394"/>
        <v>0</v>
      </c>
      <c r="AN191" s="763">
        <f t="shared" si="399"/>
        <v>44357</v>
      </c>
    </row>
    <row r="192" spans="1:40" hidden="1">
      <c r="A192" s="7">
        <v>6</v>
      </c>
      <c r="B192">
        <v>3</v>
      </c>
      <c r="C192" t="s">
        <v>107</v>
      </c>
      <c r="D192" s="697">
        <v>39612</v>
      </c>
      <c r="E192" s="695">
        <v>20589.03</v>
      </c>
      <c r="F192" s="697">
        <v>39976</v>
      </c>
      <c r="G192" s="695">
        <v>21250.92</v>
      </c>
      <c r="H192" s="697">
        <v>40340</v>
      </c>
      <c r="I192" s="695">
        <v>19105.240000000002</v>
      </c>
      <c r="J192" s="683">
        <v>40704</v>
      </c>
      <c r="K192" s="695">
        <v>20058.849999999999</v>
      </c>
      <c r="L192" s="683">
        <v>41075</v>
      </c>
      <c r="M192" s="707">
        <v>18238.759999999998</v>
      </c>
      <c r="N192" s="683">
        <v>41439</v>
      </c>
      <c r="O192" s="690">
        <v>26591.4</v>
      </c>
      <c r="P192" s="689">
        <v>41803</v>
      </c>
      <c r="Q192" s="686">
        <v>21409</v>
      </c>
      <c r="R192" s="689">
        <f t="shared" si="395"/>
        <v>42167</v>
      </c>
      <c r="S192" s="777">
        <v>20468.099999999999</v>
      </c>
      <c r="T192" s="689">
        <f t="shared" si="395"/>
        <v>42538</v>
      </c>
      <c r="U192" s="777">
        <v>17398.59</v>
      </c>
      <c r="V192" s="689">
        <f t="shared" ref="V192:Z192" si="403">V191+1</f>
        <v>42902</v>
      </c>
      <c r="W192" s="777">
        <v>24363.75</v>
      </c>
      <c r="X192" s="689">
        <f t="shared" ref="X192" si="404">X191+1</f>
        <v>43266</v>
      </c>
      <c r="Y192" s="777">
        <v>21741.74</v>
      </c>
      <c r="Z192" s="689">
        <f t="shared" si="403"/>
        <v>43630</v>
      </c>
      <c r="AA192" s="777">
        <v>19085.939999999999</v>
      </c>
      <c r="AB192" s="689">
        <f t="shared" ref="AB192" si="405">AB191+1</f>
        <v>43994</v>
      </c>
      <c r="AC192" s="774"/>
      <c r="AD192" s="864"/>
      <c r="AJ192" s="751"/>
      <c r="AK192" s="752"/>
      <c r="AL192" s="753"/>
      <c r="AM192" s="762">
        <f t="shared" si="394"/>
        <v>0</v>
      </c>
      <c r="AN192" s="763">
        <f t="shared" si="399"/>
        <v>44358</v>
      </c>
    </row>
    <row r="193" spans="1:40" hidden="1">
      <c r="A193" s="7">
        <v>6</v>
      </c>
      <c r="B193">
        <v>3</v>
      </c>
      <c r="C193" t="s">
        <v>108</v>
      </c>
      <c r="D193" s="697">
        <v>39613</v>
      </c>
      <c r="E193" s="695">
        <v>21106.89</v>
      </c>
      <c r="F193" s="697">
        <v>39977</v>
      </c>
      <c r="G193" s="695">
        <v>18466.240000000002</v>
      </c>
      <c r="H193" s="697">
        <v>40341</v>
      </c>
      <c r="I193" s="695">
        <v>15615.17</v>
      </c>
      <c r="J193" s="683">
        <v>40705</v>
      </c>
      <c r="K193" s="695">
        <v>18233.3</v>
      </c>
      <c r="L193" s="683">
        <v>41076</v>
      </c>
      <c r="M193" s="707">
        <v>21075.8</v>
      </c>
      <c r="N193" s="683">
        <v>41440</v>
      </c>
      <c r="O193" s="690">
        <v>20878.599999999999</v>
      </c>
      <c r="P193" s="689">
        <v>41804</v>
      </c>
      <c r="Q193" s="686">
        <v>22577.38</v>
      </c>
      <c r="R193" s="689">
        <f t="shared" si="395"/>
        <v>42168</v>
      </c>
      <c r="S193" s="777">
        <v>20958.12</v>
      </c>
      <c r="T193" s="689">
        <f t="shared" si="395"/>
        <v>42539</v>
      </c>
      <c r="U193" s="777">
        <v>24561.27</v>
      </c>
      <c r="V193" s="689">
        <f t="shared" ref="V193:Z193" si="406">V192+1</f>
        <v>42903</v>
      </c>
      <c r="W193" s="777">
        <v>27206.3</v>
      </c>
      <c r="X193" s="689">
        <f t="shared" ref="X193" si="407">X192+1</f>
        <v>43267</v>
      </c>
      <c r="Y193" s="777">
        <v>30853.57</v>
      </c>
      <c r="Z193" s="689">
        <f t="shared" si="406"/>
        <v>43631</v>
      </c>
      <c r="AA193" s="777">
        <v>21718.14</v>
      </c>
      <c r="AB193" s="689">
        <f t="shared" ref="AB193" si="408">AB192+1</f>
        <v>43995</v>
      </c>
      <c r="AC193" s="774"/>
      <c r="AD193" s="864"/>
      <c r="AJ193" s="751"/>
      <c r="AK193" s="752"/>
      <c r="AL193" s="753"/>
      <c r="AM193" s="762">
        <f t="shared" si="394"/>
        <v>0</v>
      </c>
      <c r="AN193" s="763">
        <f t="shared" si="399"/>
        <v>44359</v>
      </c>
    </row>
    <row r="194" spans="1:40" ht="15.75" hidden="1" thickBot="1">
      <c r="A194" s="12">
        <v>6</v>
      </c>
      <c r="B194" s="14">
        <v>3</v>
      </c>
      <c r="C194" s="14" t="s">
        <v>109</v>
      </c>
      <c r="D194" s="697">
        <v>39614</v>
      </c>
      <c r="E194" s="695">
        <v>11131.06</v>
      </c>
      <c r="F194" s="699">
        <v>39978</v>
      </c>
      <c r="G194" s="695">
        <v>8105.9</v>
      </c>
      <c r="H194" s="699">
        <v>40342</v>
      </c>
      <c r="I194" s="695">
        <v>5096.63</v>
      </c>
      <c r="J194" s="700">
        <v>40706</v>
      </c>
      <c r="K194" s="695">
        <v>4026.45</v>
      </c>
      <c r="L194" s="683">
        <v>41077</v>
      </c>
      <c r="M194" s="707">
        <v>20951.650000000001</v>
      </c>
      <c r="N194" s="683">
        <v>41441</v>
      </c>
      <c r="O194" s="690">
        <v>20829.900000000001</v>
      </c>
      <c r="P194" s="689">
        <v>41805</v>
      </c>
      <c r="Q194" s="686">
        <v>22016.799999999999</v>
      </c>
      <c r="R194" s="761">
        <f t="shared" si="395"/>
        <v>42169</v>
      </c>
      <c r="S194" s="778">
        <v>15450</v>
      </c>
      <c r="T194" s="761">
        <f t="shared" si="395"/>
        <v>42540</v>
      </c>
      <c r="U194" s="817">
        <v>26197.3</v>
      </c>
      <c r="V194" s="761">
        <f t="shared" ref="V194:Z194" si="409">V193+1</f>
        <v>42904</v>
      </c>
      <c r="W194" s="817">
        <v>26452.45</v>
      </c>
      <c r="X194" s="761">
        <f t="shared" ref="X194" si="410">X193+1</f>
        <v>43268</v>
      </c>
      <c r="Y194" s="817">
        <v>24541</v>
      </c>
      <c r="Z194" s="761">
        <f t="shared" si="409"/>
        <v>43632</v>
      </c>
      <c r="AA194" s="817">
        <v>28567.54</v>
      </c>
      <c r="AB194" s="761">
        <f t="shared" ref="AB194" si="411">AB193+1</f>
        <v>43996</v>
      </c>
      <c r="AC194" s="775"/>
      <c r="AD194" s="865"/>
      <c r="AE194" s="203">
        <f>SUM(E188:E194)</f>
        <v>114677.75</v>
      </c>
      <c r="AF194" s="203">
        <f>SUM(G188:G194)</f>
        <v>100846.87999999999</v>
      </c>
      <c r="AG194" s="203">
        <f>SUM(I188:I194)</f>
        <v>84508.35</v>
      </c>
      <c r="AH194" s="203">
        <f>SUM(K188:K194)</f>
        <v>88676.160000000003</v>
      </c>
      <c r="AI194" s="203">
        <f>SUM(M188:M194)</f>
        <v>113395.59</v>
      </c>
      <c r="AJ194" s="751"/>
      <c r="AK194" s="752"/>
      <c r="AL194" s="754"/>
      <c r="AM194" s="762">
        <f t="shared" si="394"/>
        <v>0</v>
      </c>
      <c r="AN194" s="763">
        <f t="shared" si="399"/>
        <v>44360</v>
      </c>
    </row>
    <row r="195" spans="1:40" s="428" customFormat="1" ht="15.75" hidden="1" thickBot="1">
      <c r="A195" s="486"/>
      <c r="C195" s="809" t="s">
        <v>282</v>
      </c>
      <c r="D195" s="810"/>
      <c r="E195" s="811"/>
      <c r="F195" s="810"/>
      <c r="G195" s="811"/>
      <c r="H195" s="810"/>
      <c r="I195" s="811"/>
      <c r="J195" s="812"/>
      <c r="K195" s="813"/>
      <c r="L195" s="812"/>
      <c r="M195" s="813"/>
      <c r="N195" s="812"/>
      <c r="O195" s="814">
        <f>SUM(O188:O194)</f>
        <v>122377.48999999999</v>
      </c>
      <c r="P195" s="812"/>
      <c r="Q195" s="814">
        <f>SUM(Q188:Q194)</f>
        <v>117839.5</v>
      </c>
      <c r="R195" s="815"/>
      <c r="S195" s="816">
        <f>SUM(S188:S194)</f>
        <v>115372.04999999999</v>
      </c>
      <c r="T195" s="815"/>
      <c r="U195" s="816">
        <f>SUM(U188:U194)</f>
        <v>130135.44</v>
      </c>
      <c r="V195" s="815"/>
      <c r="W195" s="816">
        <f>SUM(W188:W194)</f>
        <v>137243</v>
      </c>
      <c r="X195" s="815"/>
      <c r="Y195" s="816">
        <f>SUM(Y188:Y194)</f>
        <v>129186.15</v>
      </c>
      <c r="Z195" s="815"/>
      <c r="AA195" s="816">
        <f>SUM(AA188:AA194)</f>
        <v>130184.51999999999</v>
      </c>
      <c r="AB195" s="815"/>
      <c r="AC195" s="816">
        <f>SUM(AC188:AC194)</f>
        <v>0</v>
      </c>
      <c r="AD195" s="758"/>
      <c r="AE195" s="822"/>
      <c r="AF195" s="822"/>
      <c r="AG195" s="822"/>
      <c r="AH195" s="822"/>
      <c r="AI195" s="822"/>
      <c r="AJ195" s="820">
        <f>SUM(AJ188:AJ194)</f>
        <v>0</v>
      </c>
      <c r="AK195" s="823">
        <f>SUM(AK188:AK194)</f>
        <v>0</v>
      </c>
      <c r="AL195" s="823">
        <f>SUM(AL188:AL194)</f>
        <v>0</v>
      </c>
      <c r="AM195" s="821">
        <f>SUM(AM188:AM194)</f>
        <v>0</v>
      </c>
    </row>
    <row r="196" spans="1:40" ht="15.75" hidden="1" thickBot="1">
      <c r="A196" s="5">
        <v>6</v>
      </c>
      <c r="B196" s="16">
        <v>4</v>
      </c>
      <c r="C196" s="16" t="s">
        <v>103</v>
      </c>
      <c r="D196" s="699">
        <v>39615</v>
      </c>
      <c r="E196" s="695">
        <v>12763.44</v>
      </c>
      <c r="F196" s="694">
        <v>39979</v>
      </c>
      <c r="G196" s="695">
        <v>9696.42</v>
      </c>
      <c r="H196" s="694">
        <v>40343</v>
      </c>
      <c r="I196" s="695">
        <v>12060.92</v>
      </c>
      <c r="J196" s="701">
        <v>40707</v>
      </c>
      <c r="K196" s="695">
        <v>10503.7</v>
      </c>
      <c r="L196" s="683">
        <v>41078</v>
      </c>
      <c r="M196" s="707">
        <v>13888.3</v>
      </c>
      <c r="N196" s="683">
        <v>41442</v>
      </c>
      <c r="O196" s="690">
        <v>8781.5</v>
      </c>
      <c r="P196" s="689">
        <v>41806</v>
      </c>
      <c r="Q196" s="686">
        <v>13995.41</v>
      </c>
      <c r="R196" s="635">
        <f>R194+1</f>
        <v>42170</v>
      </c>
      <c r="S196" s="776">
        <v>13994.02</v>
      </c>
      <c r="T196" s="635">
        <f>T194+1</f>
        <v>42541</v>
      </c>
      <c r="U196" s="776">
        <v>10734.11</v>
      </c>
      <c r="V196" s="635">
        <f>V194+1</f>
        <v>42905</v>
      </c>
      <c r="W196" s="776">
        <v>12362.56</v>
      </c>
      <c r="X196" s="635">
        <f>X194+1</f>
        <v>43269</v>
      </c>
      <c r="Y196" s="776">
        <v>10776.88</v>
      </c>
      <c r="Z196" s="635">
        <f>Z194+1</f>
        <v>43633</v>
      </c>
      <c r="AA196" s="776">
        <v>8554.5</v>
      </c>
      <c r="AB196" s="635">
        <f>AB194+1</f>
        <v>43997</v>
      </c>
      <c r="AC196" s="772"/>
      <c r="AD196" s="863" t="s">
        <v>134</v>
      </c>
      <c r="AJ196" s="751"/>
      <c r="AK196" s="752"/>
      <c r="AL196" s="752"/>
      <c r="AM196" s="762">
        <f t="shared" ref="AM196:AM202" si="412">SUM(AJ196:AL196)</f>
        <v>0</v>
      </c>
      <c r="AN196" s="763">
        <f>AN194+1</f>
        <v>44361</v>
      </c>
    </row>
    <row r="197" spans="1:40" hidden="1">
      <c r="A197" s="7">
        <v>6</v>
      </c>
      <c r="B197">
        <v>4</v>
      </c>
      <c r="C197" t="s">
        <v>104</v>
      </c>
      <c r="D197" s="694">
        <v>39616</v>
      </c>
      <c r="E197" s="695">
        <v>15960.81</v>
      </c>
      <c r="F197" s="697">
        <v>39980</v>
      </c>
      <c r="G197" s="695">
        <v>13988.24</v>
      </c>
      <c r="H197" s="697">
        <v>40344</v>
      </c>
      <c r="I197" s="695">
        <v>15541.49</v>
      </c>
      <c r="J197" s="683">
        <v>40708</v>
      </c>
      <c r="K197" s="695">
        <v>14998.81</v>
      </c>
      <c r="L197" s="683">
        <v>41079</v>
      </c>
      <c r="M197" s="707">
        <v>14860.35</v>
      </c>
      <c r="N197" s="683">
        <v>41443</v>
      </c>
      <c r="O197" s="690">
        <v>11745.97</v>
      </c>
      <c r="P197" s="689">
        <v>41807</v>
      </c>
      <c r="Q197" s="686">
        <v>13138.8</v>
      </c>
      <c r="R197" s="689">
        <f>R196+1</f>
        <v>42171</v>
      </c>
      <c r="S197" s="777">
        <v>12527.63</v>
      </c>
      <c r="T197" s="689">
        <f>T196+1</f>
        <v>42542</v>
      </c>
      <c r="U197" s="827">
        <v>17710.55</v>
      </c>
      <c r="V197" s="689">
        <f>V196+1</f>
        <v>42906</v>
      </c>
      <c r="W197" s="827">
        <v>14782.47</v>
      </c>
      <c r="X197" s="689">
        <f>X196+1</f>
        <v>43270</v>
      </c>
      <c r="Y197" s="827">
        <v>15141.76</v>
      </c>
      <c r="Z197" s="689">
        <f>Z196+1</f>
        <v>43634</v>
      </c>
      <c r="AA197" s="827">
        <v>13540.43</v>
      </c>
      <c r="AB197" s="689">
        <f>AB196+1</f>
        <v>43998</v>
      </c>
      <c r="AC197" s="818"/>
      <c r="AD197" s="864"/>
      <c r="AJ197" s="751"/>
      <c r="AK197" s="752"/>
      <c r="AL197" s="753"/>
      <c r="AM197" s="762">
        <f t="shared" si="412"/>
        <v>0</v>
      </c>
      <c r="AN197" s="763">
        <f>AN196+1</f>
        <v>44362</v>
      </c>
    </row>
    <row r="198" spans="1:40" hidden="1">
      <c r="A198" s="7">
        <v>6</v>
      </c>
      <c r="B198">
        <v>4</v>
      </c>
      <c r="C198" t="s">
        <v>105</v>
      </c>
      <c r="D198" s="697">
        <v>39617</v>
      </c>
      <c r="E198" s="695">
        <v>18452.11</v>
      </c>
      <c r="F198" s="697">
        <v>39981</v>
      </c>
      <c r="G198" s="695">
        <v>17719.080000000002</v>
      </c>
      <c r="H198" s="697">
        <v>40345</v>
      </c>
      <c r="I198" s="695">
        <v>11438.04</v>
      </c>
      <c r="J198" s="683">
        <v>40709</v>
      </c>
      <c r="K198" s="695">
        <v>13737.3</v>
      </c>
      <c r="L198" s="683">
        <v>41080</v>
      </c>
      <c r="M198" s="707">
        <v>25170.55</v>
      </c>
      <c r="N198" s="683">
        <v>41444</v>
      </c>
      <c r="O198" s="690">
        <v>16009.05</v>
      </c>
      <c r="P198" s="689">
        <v>41808</v>
      </c>
      <c r="Q198" s="686">
        <v>17729.22</v>
      </c>
      <c r="R198" s="689">
        <f t="shared" ref="R198:T202" si="413">R197+1</f>
        <v>42172</v>
      </c>
      <c r="S198" s="777">
        <v>16000.4</v>
      </c>
      <c r="T198" s="689">
        <f t="shared" si="413"/>
        <v>42543</v>
      </c>
      <c r="U198" s="777">
        <v>15666.02</v>
      </c>
      <c r="V198" s="689">
        <f t="shared" ref="V198:Z198" si="414">V197+1</f>
        <v>42907</v>
      </c>
      <c r="W198" s="777">
        <v>16692.009999999998</v>
      </c>
      <c r="X198" s="689">
        <f t="shared" ref="X198" si="415">X197+1</f>
        <v>43271</v>
      </c>
      <c r="Y198" s="777">
        <v>16160.91</v>
      </c>
      <c r="Z198" s="689">
        <f t="shared" si="414"/>
        <v>43635</v>
      </c>
      <c r="AA198" s="777">
        <v>16156.56</v>
      </c>
      <c r="AB198" s="689">
        <f t="shared" ref="AB198" si="416">AB197+1</f>
        <v>43999</v>
      </c>
      <c r="AC198" s="774"/>
      <c r="AD198" s="864"/>
      <c r="AJ198" s="751"/>
      <c r="AK198" s="752"/>
      <c r="AL198" s="753"/>
      <c r="AM198" s="762">
        <f t="shared" si="412"/>
        <v>0</v>
      </c>
      <c r="AN198" s="763">
        <f t="shared" ref="AN198:AN202" si="417">AN197+1</f>
        <v>44363</v>
      </c>
    </row>
    <row r="199" spans="1:40" hidden="1">
      <c r="A199" s="7">
        <v>6</v>
      </c>
      <c r="B199">
        <v>4</v>
      </c>
      <c r="C199" t="s">
        <v>106</v>
      </c>
      <c r="D199" s="697">
        <v>39618</v>
      </c>
      <c r="E199" s="695">
        <v>17270.98</v>
      </c>
      <c r="F199" s="697">
        <v>39982</v>
      </c>
      <c r="G199" s="695">
        <v>13735.05</v>
      </c>
      <c r="H199" s="697">
        <v>40346</v>
      </c>
      <c r="I199" s="695">
        <v>18225.189999999999</v>
      </c>
      <c r="J199" s="683">
        <v>40710</v>
      </c>
      <c r="K199" s="695">
        <v>14129.2</v>
      </c>
      <c r="L199" s="683">
        <v>41081</v>
      </c>
      <c r="M199" s="707">
        <v>19251.73</v>
      </c>
      <c r="N199" s="683">
        <v>41445</v>
      </c>
      <c r="O199" s="690">
        <v>19222.759999999998</v>
      </c>
      <c r="P199" s="689">
        <v>41809</v>
      </c>
      <c r="Q199" s="686">
        <v>14336.45</v>
      </c>
      <c r="R199" s="689">
        <f t="shared" si="413"/>
        <v>42173</v>
      </c>
      <c r="S199" s="777">
        <v>11815.97</v>
      </c>
      <c r="T199" s="689">
        <f t="shared" si="413"/>
        <v>42544</v>
      </c>
      <c r="U199" s="777">
        <v>18260</v>
      </c>
      <c r="V199" s="689">
        <f t="shared" ref="V199:Z199" si="418">V198+1</f>
        <v>42908</v>
      </c>
      <c r="W199" s="777">
        <v>21362.04</v>
      </c>
      <c r="X199" s="689">
        <f t="shared" ref="X199" si="419">X198+1</f>
        <v>43272</v>
      </c>
      <c r="Y199" s="777">
        <v>20127.77</v>
      </c>
      <c r="Z199" s="689">
        <f t="shared" si="418"/>
        <v>43636</v>
      </c>
      <c r="AA199" s="777">
        <v>18028.02</v>
      </c>
      <c r="AB199" s="689">
        <f t="shared" ref="AB199" si="420">AB198+1</f>
        <v>44000</v>
      </c>
      <c r="AC199" s="774"/>
      <c r="AD199" s="864"/>
      <c r="AJ199" s="751"/>
      <c r="AK199" s="752"/>
      <c r="AL199" s="753"/>
      <c r="AM199" s="762">
        <f t="shared" si="412"/>
        <v>0</v>
      </c>
      <c r="AN199" s="763">
        <f t="shared" si="417"/>
        <v>44364</v>
      </c>
    </row>
    <row r="200" spans="1:40" hidden="1">
      <c r="A200" s="7">
        <v>6</v>
      </c>
      <c r="B200">
        <v>4</v>
      </c>
      <c r="C200" t="s">
        <v>107</v>
      </c>
      <c r="D200" s="697">
        <v>39619</v>
      </c>
      <c r="E200" s="695">
        <v>20283.240000000002</v>
      </c>
      <c r="F200" s="697">
        <v>39983</v>
      </c>
      <c r="G200" s="695">
        <v>19374.29</v>
      </c>
      <c r="H200" s="697">
        <v>40347</v>
      </c>
      <c r="I200" s="695">
        <v>19941.689999999999</v>
      </c>
      <c r="J200" s="683">
        <v>40711</v>
      </c>
      <c r="K200" s="695">
        <v>19156.57</v>
      </c>
      <c r="L200" s="683">
        <v>41082</v>
      </c>
      <c r="M200" s="707">
        <v>21367.5</v>
      </c>
      <c r="N200" s="683">
        <v>41446</v>
      </c>
      <c r="O200" s="690">
        <v>19757.55</v>
      </c>
      <c r="P200" s="689">
        <v>41810</v>
      </c>
      <c r="Q200" s="686">
        <v>22824.28</v>
      </c>
      <c r="R200" s="689">
        <f t="shared" si="413"/>
        <v>42174</v>
      </c>
      <c r="S200" s="777">
        <v>19510.32</v>
      </c>
      <c r="T200" s="689">
        <f t="shared" si="413"/>
        <v>42545</v>
      </c>
      <c r="U200" s="777">
        <v>22726.55</v>
      </c>
      <c r="V200" s="689">
        <f t="shared" ref="V200:Z200" si="421">V199+1</f>
        <v>42909</v>
      </c>
      <c r="W200" s="777">
        <v>20832.900000000001</v>
      </c>
      <c r="X200" s="689">
        <f t="shared" ref="X200" si="422">X199+1</f>
        <v>43273</v>
      </c>
      <c r="Y200" s="777">
        <v>24255.22</v>
      </c>
      <c r="Z200" s="689">
        <f t="shared" si="421"/>
        <v>43637</v>
      </c>
      <c r="AA200" s="777">
        <v>21361.759999999998</v>
      </c>
      <c r="AB200" s="689">
        <f t="shared" ref="AB200" si="423">AB199+1</f>
        <v>44001</v>
      </c>
      <c r="AC200" s="774"/>
      <c r="AD200" s="864"/>
      <c r="AJ200" s="751"/>
      <c r="AK200" s="752"/>
      <c r="AL200" s="753"/>
      <c r="AM200" s="762">
        <f t="shared" si="412"/>
        <v>0</v>
      </c>
      <c r="AN200" s="763">
        <f t="shared" si="417"/>
        <v>44365</v>
      </c>
    </row>
    <row r="201" spans="1:40" hidden="1">
      <c r="A201" s="7">
        <v>6</v>
      </c>
      <c r="B201">
        <v>4</v>
      </c>
      <c r="C201" t="s">
        <v>108</v>
      </c>
      <c r="D201" s="697">
        <v>39620</v>
      </c>
      <c r="E201" s="695">
        <v>22073.91</v>
      </c>
      <c r="F201" s="697">
        <v>39984</v>
      </c>
      <c r="G201" s="695">
        <v>21332.55</v>
      </c>
      <c r="H201" s="697">
        <v>40348</v>
      </c>
      <c r="I201" s="695">
        <v>17202.54</v>
      </c>
      <c r="J201" s="683">
        <v>40712</v>
      </c>
      <c r="K201" s="695">
        <v>23513.4</v>
      </c>
      <c r="L201" s="683">
        <v>41083</v>
      </c>
      <c r="M201" s="707">
        <v>22798.45</v>
      </c>
      <c r="N201" s="683">
        <v>41447</v>
      </c>
      <c r="O201" s="690">
        <v>21351.91</v>
      </c>
      <c r="P201" s="689">
        <v>41811</v>
      </c>
      <c r="Q201" s="686">
        <v>21006.06</v>
      </c>
      <c r="R201" s="689">
        <f t="shared" si="413"/>
        <v>42175</v>
      </c>
      <c r="S201" s="777">
        <v>22328.2</v>
      </c>
      <c r="T201" s="689">
        <f t="shared" si="413"/>
        <v>42546</v>
      </c>
      <c r="U201" s="777">
        <v>16762.45</v>
      </c>
      <c r="V201" s="689">
        <f t="shared" ref="V201:Z201" si="424">V200+1</f>
        <v>42910</v>
      </c>
      <c r="W201" s="777">
        <v>19962.099999999999</v>
      </c>
      <c r="X201" s="689">
        <f t="shared" ref="X201" si="425">X200+1</f>
        <v>43274</v>
      </c>
      <c r="Y201" s="777">
        <v>27653.86</v>
      </c>
      <c r="Z201" s="689">
        <f t="shared" si="424"/>
        <v>43638</v>
      </c>
      <c r="AA201" s="777">
        <v>19717.849999999999</v>
      </c>
      <c r="AB201" s="689">
        <f t="shared" ref="AB201" si="426">AB200+1</f>
        <v>44002</v>
      </c>
      <c r="AC201" s="774"/>
      <c r="AD201" s="864"/>
      <c r="AJ201" s="751"/>
      <c r="AK201" s="752"/>
      <c r="AL201" s="753"/>
      <c r="AM201" s="762">
        <f t="shared" si="412"/>
        <v>0</v>
      </c>
      <c r="AN201" s="763">
        <f t="shared" si="417"/>
        <v>44366</v>
      </c>
    </row>
    <row r="202" spans="1:40" ht="15.75" hidden="1" thickBot="1">
      <c r="A202" s="12">
        <v>6</v>
      </c>
      <c r="B202" s="14">
        <v>4</v>
      </c>
      <c r="C202" s="14" t="s">
        <v>109</v>
      </c>
      <c r="D202" s="697">
        <v>39621</v>
      </c>
      <c r="E202" s="695">
        <v>8433.5</v>
      </c>
      <c r="F202" s="699">
        <v>39985</v>
      </c>
      <c r="G202" s="695">
        <v>8940.42</v>
      </c>
      <c r="H202" s="699">
        <v>40349</v>
      </c>
      <c r="I202" s="695">
        <v>14208.92</v>
      </c>
      <c r="J202" s="700">
        <v>40713</v>
      </c>
      <c r="K202" s="695">
        <v>16810.080000000002</v>
      </c>
      <c r="L202" s="683">
        <v>41084</v>
      </c>
      <c r="M202" s="707">
        <v>7281.4</v>
      </c>
      <c r="N202" s="683">
        <v>41448</v>
      </c>
      <c r="O202" s="690">
        <v>9414.0499999999993</v>
      </c>
      <c r="P202" s="689">
        <v>41812</v>
      </c>
      <c r="Q202" s="686">
        <v>10449.51</v>
      </c>
      <c r="R202" s="761">
        <f t="shared" si="413"/>
        <v>42176</v>
      </c>
      <c r="S202" s="778">
        <v>27705.895</v>
      </c>
      <c r="T202" s="761">
        <f t="shared" si="413"/>
        <v>42547</v>
      </c>
      <c r="U202" s="817">
        <v>12033.16</v>
      </c>
      <c r="V202" s="761">
        <f t="shared" ref="V202:Z202" si="427">V201+1</f>
        <v>42911</v>
      </c>
      <c r="W202" s="817">
        <v>12548.7</v>
      </c>
      <c r="X202" s="761">
        <f t="shared" ref="X202" si="428">X201+1</f>
        <v>43275</v>
      </c>
      <c r="Y202" s="817">
        <v>13413.1</v>
      </c>
      <c r="Z202" s="761">
        <f t="shared" si="427"/>
        <v>43639</v>
      </c>
      <c r="AA202" s="817">
        <v>13575.33</v>
      </c>
      <c r="AB202" s="761">
        <f t="shared" ref="AB202" si="429">AB201+1</f>
        <v>44003</v>
      </c>
      <c r="AC202" s="775"/>
      <c r="AD202" s="865"/>
      <c r="AE202" s="203">
        <f>SUM(E196:E202)</f>
        <v>115237.99</v>
      </c>
      <c r="AF202" s="203">
        <f>SUM(G196:G202)</f>
        <v>104786.05000000002</v>
      </c>
      <c r="AG202" s="203">
        <f>SUM(I196:I202)</f>
        <v>108618.79</v>
      </c>
      <c r="AH202" s="203">
        <f>SUM(K196:K202)</f>
        <v>112849.05999999998</v>
      </c>
      <c r="AI202" s="203">
        <f>SUM(M196:M202)</f>
        <v>124618.27999999998</v>
      </c>
      <c r="AJ202" s="751"/>
      <c r="AK202" s="752"/>
      <c r="AL202" s="754"/>
      <c r="AM202" s="762">
        <f t="shared" si="412"/>
        <v>0</v>
      </c>
      <c r="AN202" s="763">
        <f t="shared" si="417"/>
        <v>44367</v>
      </c>
    </row>
    <row r="203" spans="1:40" s="428" customFormat="1" ht="15.75" hidden="1" thickBot="1">
      <c r="A203" s="486"/>
      <c r="C203" s="809" t="s">
        <v>282</v>
      </c>
      <c r="D203" s="810"/>
      <c r="E203" s="811"/>
      <c r="F203" s="810"/>
      <c r="G203" s="811"/>
      <c r="H203" s="810"/>
      <c r="I203" s="811"/>
      <c r="J203" s="812"/>
      <c r="K203" s="813"/>
      <c r="L203" s="812"/>
      <c r="M203" s="813"/>
      <c r="N203" s="812"/>
      <c r="O203" s="814">
        <f>SUM(O196:O202)</f>
        <v>106282.79000000001</v>
      </c>
      <c r="P203" s="812"/>
      <c r="Q203" s="814">
        <f>SUM(Q196:Q202)</f>
        <v>113479.73</v>
      </c>
      <c r="R203" s="815"/>
      <c r="S203" s="816">
        <f>SUM(S196:S202)</f>
        <v>123882.435</v>
      </c>
      <c r="T203" s="815"/>
      <c r="U203" s="816">
        <f>SUM(U196:U202)</f>
        <v>113892.84</v>
      </c>
      <c r="V203" s="815"/>
      <c r="W203" s="816">
        <f>SUM(W196:W202)</f>
        <v>118542.77999999998</v>
      </c>
      <c r="X203" s="815"/>
      <c r="Y203" s="816">
        <f>SUM(Y196:Y202)</f>
        <v>127529.50000000001</v>
      </c>
      <c r="Z203" s="815"/>
      <c r="AA203" s="816">
        <f>SUM(AA196:AA202)</f>
        <v>110934.45</v>
      </c>
      <c r="AB203" s="815"/>
      <c r="AC203" s="816">
        <f>SUM(AC196:AC202)</f>
        <v>0</v>
      </c>
      <c r="AD203" s="758"/>
      <c r="AE203" s="822"/>
      <c r="AF203" s="822"/>
      <c r="AG203" s="822"/>
      <c r="AH203" s="822"/>
      <c r="AI203" s="822"/>
      <c r="AJ203" s="820">
        <f>SUM(AJ196:AJ202)</f>
        <v>0</v>
      </c>
      <c r="AK203" s="823">
        <f>SUM(AK196:AK202)</f>
        <v>0</v>
      </c>
      <c r="AL203" s="823">
        <f>SUM(AL196:AL202)</f>
        <v>0</v>
      </c>
      <c r="AM203" s="821">
        <f>SUM(AM196:AM202)</f>
        <v>0</v>
      </c>
    </row>
    <row r="204" spans="1:40" ht="15.75" hidden="1" thickBot="1">
      <c r="A204" s="5">
        <v>6</v>
      </c>
      <c r="B204" s="16">
        <v>5</v>
      </c>
      <c r="C204" s="16" t="s">
        <v>103</v>
      </c>
      <c r="D204" s="699">
        <v>39622</v>
      </c>
      <c r="E204" s="695">
        <v>12407.17</v>
      </c>
      <c r="F204" s="694">
        <v>39986</v>
      </c>
      <c r="G204" s="695">
        <v>8051.83</v>
      </c>
      <c r="H204" s="694">
        <v>40350</v>
      </c>
      <c r="I204" s="695">
        <v>10319.129999999999</v>
      </c>
      <c r="J204" s="701">
        <v>40714</v>
      </c>
      <c r="K204" s="695">
        <v>13364.8</v>
      </c>
      <c r="L204" s="683">
        <v>41085</v>
      </c>
      <c r="M204" s="707">
        <v>8720.1</v>
      </c>
      <c r="N204" s="683">
        <v>41449</v>
      </c>
      <c r="O204" s="690">
        <v>10101.01</v>
      </c>
      <c r="P204" s="689">
        <v>41813</v>
      </c>
      <c r="Q204" s="686">
        <v>7466.89</v>
      </c>
      <c r="R204" s="635">
        <f>R202+1</f>
        <v>42177</v>
      </c>
      <c r="S204" s="776">
        <v>9087.5</v>
      </c>
      <c r="T204" s="635">
        <f>T202+1</f>
        <v>42548</v>
      </c>
      <c r="U204" s="776">
        <v>12533.71</v>
      </c>
      <c r="V204" s="635">
        <f>V202+1</f>
        <v>42912</v>
      </c>
      <c r="W204" s="776">
        <v>12323.1</v>
      </c>
      <c r="X204" s="635">
        <f>X202+1</f>
        <v>43276</v>
      </c>
      <c r="Y204" s="776">
        <v>10722.91</v>
      </c>
      <c r="Z204" s="635">
        <f>Z202+1</f>
        <v>43640</v>
      </c>
      <c r="AA204" s="776">
        <v>9384.64</v>
      </c>
      <c r="AB204" s="635">
        <f>AB202+1</f>
        <v>44004</v>
      </c>
      <c r="AC204" s="772"/>
      <c r="AD204" s="863" t="s">
        <v>135</v>
      </c>
      <c r="AJ204" s="751"/>
      <c r="AK204" s="752"/>
      <c r="AL204" s="752"/>
      <c r="AM204" s="762">
        <f t="shared" ref="AM204:AM210" si="430">SUM(AJ204:AL204)</f>
        <v>0</v>
      </c>
      <c r="AN204" s="763">
        <f>AN202+1</f>
        <v>44368</v>
      </c>
    </row>
    <row r="205" spans="1:40" hidden="1">
      <c r="A205" s="7">
        <v>6</v>
      </c>
      <c r="B205">
        <v>5</v>
      </c>
      <c r="C205" t="s">
        <v>104</v>
      </c>
      <c r="D205" s="694">
        <v>39623</v>
      </c>
      <c r="E205" s="695">
        <v>17551.240000000002</v>
      </c>
      <c r="F205" s="697">
        <v>39987</v>
      </c>
      <c r="G205" s="695">
        <v>13298.02</v>
      </c>
      <c r="H205" s="697">
        <v>40351</v>
      </c>
      <c r="I205" s="695">
        <v>16401.7</v>
      </c>
      <c r="J205" s="683">
        <v>40715</v>
      </c>
      <c r="K205" s="695">
        <v>14203</v>
      </c>
      <c r="L205" s="683">
        <v>41086</v>
      </c>
      <c r="M205" s="707">
        <v>16199.35</v>
      </c>
      <c r="N205" s="683">
        <v>41450</v>
      </c>
      <c r="O205" s="690">
        <v>14123.11</v>
      </c>
      <c r="P205" s="689">
        <v>41814</v>
      </c>
      <c r="Q205" s="686">
        <v>12671.2</v>
      </c>
      <c r="R205" s="689">
        <f>R204+1</f>
        <v>42178</v>
      </c>
      <c r="S205" s="777">
        <v>14833.4</v>
      </c>
      <c r="T205" s="689">
        <f>T204+1</f>
        <v>42549</v>
      </c>
      <c r="U205" s="827">
        <v>12029.2</v>
      </c>
      <c r="V205" s="689">
        <f>V204+1</f>
        <v>42913</v>
      </c>
      <c r="W205" s="827">
        <v>15283.64</v>
      </c>
      <c r="X205" s="689">
        <f>X204+1</f>
        <v>43277</v>
      </c>
      <c r="Y205" s="827">
        <v>15392.08</v>
      </c>
      <c r="Z205" s="689">
        <f>Z204+1</f>
        <v>43641</v>
      </c>
      <c r="AA205" s="827">
        <v>15357.12</v>
      </c>
      <c r="AB205" s="689">
        <f>AB204+1</f>
        <v>44005</v>
      </c>
      <c r="AC205" s="818"/>
      <c r="AD205" s="864"/>
      <c r="AJ205" s="751"/>
      <c r="AK205" s="752"/>
      <c r="AL205" s="753"/>
      <c r="AM205" s="762">
        <f t="shared" si="430"/>
        <v>0</v>
      </c>
      <c r="AN205" s="763">
        <f>AN204+1</f>
        <v>44369</v>
      </c>
    </row>
    <row r="206" spans="1:40" hidden="1">
      <c r="A206" s="7">
        <v>6</v>
      </c>
      <c r="B206">
        <v>5</v>
      </c>
      <c r="C206" t="s">
        <v>105</v>
      </c>
      <c r="D206" s="697">
        <v>39624</v>
      </c>
      <c r="E206" s="695">
        <v>17603.759999999998</v>
      </c>
      <c r="F206" s="697">
        <v>39988</v>
      </c>
      <c r="G206" s="695">
        <v>12341.46</v>
      </c>
      <c r="H206" s="697">
        <v>40352</v>
      </c>
      <c r="I206" s="695">
        <v>15256.99</v>
      </c>
      <c r="J206" s="683">
        <v>40716</v>
      </c>
      <c r="K206" s="695">
        <v>17675.509999999998</v>
      </c>
      <c r="L206" s="683">
        <v>41087</v>
      </c>
      <c r="M206" s="707">
        <v>13706.61</v>
      </c>
      <c r="N206" s="683">
        <v>41451</v>
      </c>
      <c r="O206" s="690">
        <v>17620.099999999999</v>
      </c>
      <c r="P206" s="689">
        <v>41815</v>
      </c>
      <c r="Q206" s="686">
        <v>14439.65</v>
      </c>
      <c r="R206" s="689">
        <f t="shared" ref="R206:T210" si="431">R205+1</f>
        <v>42179</v>
      </c>
      <c r="S206" s="777">
        <v>18078.580000000002</v>
      </c>
      <c r="T206" s="689">
        <f t="shared" si="431"/>
        <v>42550</v>
      </c>
      <c r="U206" s="777">
        <v>15426.26</v>
      </c>
      <c r="V206" s="689">
        <f t="shared" ref="V206:Z206" si="432">V205+1</f>
        <v>42914</v>
      </c>
      <c r="W206" s="777">
        <v>16722.55</v>
      </c>
      <c r="X206" s="689">
        <f t="shared" ref="X206" si="433">X205+1</f>
        <v>43278</v>
      </c>
      <c r="Y206" s="777">
        <v>15306.01</v>
      </c>
      <c r="Z206" s="689">
        <f t="shared" si="432"/>
        <v>43642</v>
      </c>
      <c r="AA206" s="777">
        <v>12639.38</v>
      </c>
      <c r="AB206" s="689">
        <f t="shared" ref="AB206" si="434">AB205+1</f>
        <v>44006</v>
      </c>
      <c r="AC206" s="774"/>
      <c r="AD206" s="864"/>
      <c r="AJ206" s="751"/>
      <c r="AK206" s="752"/>
      <c r="AL206" s="753"/>
      <c r="AM206" s="762">
        <f t="shared" si="430"/>
        <v>0</v>
      </c>
      <c r="AN206" s="763">
        <f t="shared" ref="AN206:AN210" si="435">AN205+1</f>
        <v>44370</v>
      </c>
    </row>
    <row r="207" spans="1:40" hidden="1">
      <c r="A207" s="7">
        <v>6</v>
      </c>
      <c r="B207">
        <v>5</v>
      </c>
      <c r="C207" t="s">
        <v>106</v>
      </c>
      <c r="D207" s="697">
        <v>39625</v>
      </c>
      <c r="E207" s="695">
        <v>14240.36</v>
      </c>
      <c r="F207" s="697">
        <v>39989</v>
      </c>
      <c r="G207" s="695">
        <v>12555.35</v>
      </c>
      <c r="H207" s="697">
        <v>40353</v>
      </c>
      <c r="I207" s="695">
        <v>17465.11</v>
      </c>
      <c r="J207" s="683">
        <v>40717</v>
      </c>
      <c r="K207" s="695">
        <v>13547.75</v>
      </c>
      <c r="L207" s="683">
        <v>41088</v>
      </c>
      <c r="M207" s="707">
        <v>16436.150000000001</v>
      </c>
      <c r="N207" s="683">
        <v>41452</v>
      </c>
      <c r="O207" s="690">
        <v>15825.15</v>
      </c>
      <c r="P207" s="689">
        <v>41816</v>
      </c>
      <c r="Q207" s="686">
        <v>17828.46</v>
      </c>
      <c r="R207" s="689">
        <f t="shared" si="431"/>
        <v>42180</v>
      </c>
      <c r="S207" s="777">
        <v>17082.53</v>
      </c>
      <c r="T207" s="689">
        <f t="shared" si="431"/>
        <v>42551</v>
      </c>
      <c r="U207" s="777">
        <v>15013.67</v>
      </c>
      <c r="V207" s="689">
        <f t="shared" ref="V207:Z207" si="436">V206+1</f>
        <v>42915</v>
      </c>
      <c r="W207" s="777">
        <v>13831.31</v>
      </c>
      <c r="X207" s="689">
        <f t="shared" ref="X207" si="437">X206+1</f>
        <v>43279</v>
      </c>
      <c r="Y207" s="777">
        <v>17318.72</v>
      </c>
      <c r="Z207" s="689">
        <f t="shared" si="436"/>
        <v>43643</v>
      </c>
      <c r="AA207" s="777">
        <v>16180.74</v>
      </c>
      <c r="AB207" s="689">
        <f t="shared" ref="AB207" si="438">AB206+1</f>
        <v>44007</v>
      </c>
      <c r="AC207" s="774"/>
      <c r="AD207" s="864"/>
      <c r="AJ207" s="751"/>
      <c r="AK207" s="752"/>
      <c r="AL207" s="753"/>
      <c r="AM207" s="762">
        <f t="shared" si="430"/>
        <v>0</v>
      </c>
      <c r="AN207" s="763">
        <f t="shared" si="435"/>
        <v>44371</v>
      </c>
    </row>
    <row r="208" spans="1:40" hidden="1">
      <c r="A208" s="7">
        <v>6</v>
      </c>
      <c r="B208">
        <v>5</v>
      </c>
      <c r="C208" t="s">
        <v>107</v>
      </c>
      <c r="D208" s="697">
        <v>39626</v>
      </c>
      <c r="E208" s="695">
        <v>21945.75</v>
      </c>
      <c r="F208" s="697">
        <v>39990</v>
      </c>
      <c r="G208" s="695">
        <v>17250.939999999999</v>
      </c>
      <c r="H208" s="697">
        <v>40354</v>
      </c>
      <c r="I208" s="695">
        <v>18433.990000000002</v>
      </c>
      <c r="J208" s="683">
        <v>40718</v>
      </c>
      <c r="K208" s="695">
        <v>18517</v>
      </c>
      <c r="L208" s="683">
        <v>41089</v>
      </c>
      <c r="M208" s="707">
        <v>19573.61</v>
      </c>
      <c r="N208" s="683">
        <v>41453</v>
      </c>
      <c r="O208" s="690">
        <v>16787.8</v>
      </c>
      <c r="P208" s="689">
        <v>41817</v>
      </c>
      <c r="Q208" s="686">
        <v>20444</v>
      </c>
      <c r="R208" s="689">
        <f t="shared" si="431"/>
        <v>42181</v>
      </c>
      <c r="S208" s="777">
        <v>21871.200000000001</v>
      </c>
      <c r="T208" s="689">
        <f t="shared" si="431"/>
        <v>42552</v>
      </c>
      <c r="U208" s="777">
        <v>20282.07</v>
      </c>
      <c r="V208" s="689">
        <f t="shared" ref="V208:Z208" si="439">V207+1</f>
        <v>42916</v>
      </c>
      <c r="W208" s="777">
        <v>17432.2</v>
      </c>
      <c r="X208" s="689">
        <f t="shared" ref="X208" si="440">X207+1</f>
        <v>43280</v>
      </c>
      <c r="Y208" s="777">
        <v>18084.22</v>
      </c>
      <c r="Z208" s="689">
        <f t="shared" si="439"/>
        <v>43644</v>
      </c>
      <c r="AA208" s="777">
        <v>20482.09</v>
      </c>
      <c r="AB208" s="689">
        <f t="shared" ref="AB208" si="441">AB207+1</f>
        <v>44008</v>
      </c>
      <c r="AC208" s="774"/>
      <c r="AD208" s="864"/>
      <c r="AJ208" s="751"/>
      <c r="AK208" s="752"/>
      <c r="AL208" s="753"/>
      <c r="AM208" s="762">
        <f t="shared" si="430"/>
        <v>0</v>
      </c>
      <c r="AN208" s="763">
        <f t="shared" si="435"/>
        <v>44372</v>
      </c>
    </row>
    <row r="209" spans="1:40" hidden="1">
      <c r="A209" s="7">
        <v>6</v>
      </c>
      <c r="B209">
        <v>5</v>
      </c>
      <c r="C209" t="s">
        <v>108</v>
      </c>
      <c r="D209" s="697">
        <v>39627</v>
      </c>
      <c r="E209" s="695">
        <v>17372.84</v>
      </c>
      <c r="F209" s="697">
        <v>39991</v>
      </c>
      <c r="G209" s="695">
        <v>17288.240000000002</v>
      </c>
      <c r="H209" s="697">
        <v>40355</v>
      </c>
      <c r="I209" s="695">
        <v>15423.78</v>
      </c>
      <c r="J209" s="683">
        <v>40719</v>
      </c>
      <c r="K209" s="695">
        <v>17948.87</v>
      </c>
      <c r="L209" s="683">
        <v>41090</v>
      </c>
      <c r="M209" s="707">
        <v>17337.400000000001</v>
      </c>
      <c r="N209" s="683">
        <v>41454</v>
      </c>
      <c r="O209" s="690">
        <v>20518.5</v>
      </c>
      <c r="P209" s="689">
        <v>41818</v>
      </c>
      <c r="Q209" s="686">
        <v>20116.07</v>
      </c>
      <c r="R209" s="689">
        <f t="shared" si="431"/>
        <v>42182</v>
      </c>
      <c r="S209" s="777">
        <v>21259.32</v>
      </c>
      <c r="T209" s="689">
        <f t="shared" si="431"/>
        <v>42553</v>
      </c>
      <c r="U209" s="777">
        <v>15172.15</v>
      </c>
      <c r="V209" s="689">
        <f t="shared" ref="V209:Z209" si="442">V208+1</f>
        <v>42917</v>
      </c>
      <c r="W209" s="777">
        <v>17615</v>
      </c>
      <c r="X209" s="689">
        <f t="shared" ref="X209" si="443">X208+1</f>
        <v>43281</v>
      </c>
      <c r="Y209" s="777">
        <v>18758.349999999999</v>
      </c>
      <c r="Z209" s="689">
        <f t="shared" si="442"/>
        <v>43645</v>
      </c>
      <c r="AA209" s="777">
        <v>22184.19</v>
      </c>
      <c r="AB209" s="689">
        <f t="shared" ref="AB209" si="444">AB208+1</f>
        <v>44009</v>
      </c>
      <c r="AC209" s="774"/>
      <c r="AD209" s="864"/>
      <c r="AJ209" s="751"/>
      <c r="AK209" s="752"/>
      <c r="AL209" s="753"/>
      <c r="AM209" s="762">
        <f t="shared" si="430"/>
        <v>0</v>
      </c>
      <c r="AN209" s="763">
        <f t="shared" si="435"/>
        <v>44373</v>
      </c>
    </row>
    <row r="210" spans="1:40" ht="15.75" hidden="1" thickBot="1">
      <c r="A210" s="12">
        <v>6</v>
      </c>
      <c r="B210" s="14">
        <v>5</v>
      </c>
      <c r="C210" s="14" t="s">
        <v>109</v>
      </c>
      <c r="D210" s="697">
        <v>39628</v>
      </c>
      <c r="E210" s="695">
        <v>10929.32</v>
      </c>
      <c r="F210" s="699">
        <v>39992</v>
      </c>
      <c r="G210" s="695">
        <v>8498.9699999999993</v>
      </c>
      <c r="H210" s="699">
        <v>40356</v>
      </c>
      <c r="I210" s="695">
        <v>7049.1</v>
      </c>
      <c r="J210" s="700">
        <v>40720</v>
      </c>
      <c r="K210" s="695">
        <v>5884.97</v>
      </c>
      <c r="L210" s="683">
        <v>41091</v>
      </c>
      <c r="M210" s="707">
        <v>8656.7000000000007</v>
      </c>
      <c r="N210" s="683">
        <v>41455</v>
      </c>
      <c r="O210" s="690">
        <v>7083.15</v>
      </c>
      <c r="P210" s="689">
        <v>41819</v>
      </c>
      <c r="Q210" s="686">
        <v>12517.7</v>
      </c>
      <c r="R210" s="761">
        <f t="shared" si="431"/>
        <v>42183</v>
      </c>
      <c r="S210" s="778">
        <v>15296</v>
      </c>
      <c r="T210" s="761">
        <f t="shared" si="431"/>
        <v>42554</v>
      </c>
      <c r="U210" s="817">
        <v>12393.05</v>
      </c>
      <c r="V210" s="761">
        <f t="shared" ref="V210:Z210" si="445">V209+1</f>
        <v>42918</v>
      </c>
      <c r="W210" s="817">
        <v>14446.2</v>
      </c>
      <c r="X210" s="761">
        <f t="shared" ref="X210" si="446">X209+1</f>
        <v>43282</v>
      </c>
      <c r="Y210" s="817">
        <v>13493.23</v>
      </c>
      <c r="Z210" s="761">
        <f t="shared" si="445"/>
        <v>43646</v>
      </c>
      <c r="AA210" s="817">
        <v>12743.6</v>
      </c>
      <c r="AB210" s="761">
        <f t="shared" ref="AB210" si="447">AB209+1</f>
        <v>44010</v>
      </c>
      <c r="AC210" s="775"/>
      <c r="AD210" s="865"/>
      <c r="AE210" s="203">
        <f>SUM(E204:E210)</f>
        <v>112050.44</v>
      </c>
      <c r="AF210" s="203">
        <f>SUM(G204:G210)</f>
        <v>89284.81</v>
      </c>
      <c r="AG210" s="203">
        <f>SUM(I204:I210)</f>
        <v>100349.8</v>
      </c>
      <c r="AH210" s="203">
        <f>SUM(K204:K210)</f>
        <v>101141.9</v>
      </c>
      <c r="AI210" s="203">
        <f>SUM(M204:M210)</f>
        <v>100629.92</v>
      </c>
      <c r="AJ210" s="751"/>
      <c r="AK210" s="752"/>
      <c r="AL210" s="754"/>
      <c r="AM210" s="762">
        <f t="shared" si="430"/>
        <v>0</v>
      </c>
      <c r="AN210" s="763">
        <f t="shared" si="435"/>
        <v>44374</v>
      </c>
    </row>
    <row r="211" spans="1:40" s="428" customFormat="1" ht="15.75" hidden="1" thickBot="1">
      <c r="A211" s="486"/>
      <c r="C211" s="809" t="s">
        <v>282</v>
      </c>
      <c r="D211" s="810"/>
      <c r="E211" s="811"/>
      <c r="F211" s="810"/>
      <c r="G211" s="811"/>
      <c r="H211" s="810"/>
      <c r="I211" s="811"/>
      <c r="J211" s="812"/>
      <c r="K211" s="813"/>
      <c r="L211" s="812"/>
      <c r="M211" s="813"/>
      <c r="N211" s="812"/>
      <c r="O211" s="814">
        <f>SUM(O204:O210)</f>
        <v>102058.81999999999</v>
      </c>
      <c r="P211" s="812"/>
      <c r="Q211" s="814">
        <f>SUM(Q204:Q210)</f>
        <v>105483.96999999999</v>
      </c>
      <c r="R211" s="815"/>
      <c r="S211" s="816">
        <f>SUM(S204:S210)</f>
        <v>117508.53</v>
      </c>
      <c r="T211" s="815"/>
      <c r="U211" s="816">
        <f>SUM(U204:U210)</f>
        <v>102850.11</v>
      </c>
      <c r="V211" s="815"/>
      <c r="W211" s="816">
        <f>SUM(W204:W210)</f>
        <v>107653.99999999999</v>
      </c>
      <c r="X211" s="815"/>
      <c r="Y211" s="816">
        <f>SUM(Y204:Y210)</f>
        <v>109075.52</v>
      </c>
      <c r="Z211" s="815"/>
      <c r="AA211" s="816">
        <f>SUM(AA204:AA210)</f>
        <v>108971.76000000001</v>
      </c>
      <c r="AB211" s="815"/>
      <c r="AC211" s="816">
        <f>SUM(AC204:AC210)</f>
        <v>0</v>
      </c>
      <c r="AD211" s="758"/>
      <c r="AE211" s="822"/>
      <c r="AF211" s="822"/>
      <c r="AG211" s="822"/>
      <c r="AH211" s="822"/>
      <c r="AI211" s="822"/>
      <c r="AJ211" s="820">
        <f>SUM(AJ204:AJ210)</f>
        <v>0</v>
      </c>
      <c r="AK211" s="823">
        <f>SUM(AK204:AK210)</f>
        <v>0</v>
      </c>
      <c r="AL211" s="823">
        <f>SUM(AL204:AL210)</f>
        <v>0</v>
      </c>
      <c r="AM211" s="821">
        <f>SUM(AM204:AM210)</f>
        <v>0</v>
      </c>
    </row>
    <row r="212" spans="1:40" ht="15.75" hidden="1" thickBot="1">
      <c r="A212" s="5">
        <v>7</v>
      </c>
      <c r="B212" s="16">
        <v>1</v>
      </c>
      <c r="C212" s="16" t="s">
        <v>103</v>
      </c>
      <c r="D212" s="699">
        <v>39629</v>
      </c>
      <c r="E212" s="695">
        <v>10937.91</v>
      </c>
      <c r="F212" s="694">
        <v>39993</v>
      </c>
      <c r="G212" s="695">
        <v>8074.15</v>
      </c>
      <c r="H212" s="694">
        <v>40357</v>
      </c>
      <c r="I212" s="695">
        <v>9893.6299999999992</v>
      </c>
      <c r="J212" s="701">
        <v>40721</v>
      </c>
      <c r="K212" s="695">
        <v>15331.15</v>
      </c>
      <c r="L212" s="683">
        <v>41092</v>
      </c>
      <c r="M212" s="707">
        <v>8667.7000000000007</v>
      </c>
      <c r="N212" s="683">
        <v>41456</v>
      </c>
      <c r="O212" s="690">
        <v>10176.65</v>
      </c>
      <c r="P212" s="689">
        <v>41820</v>
      </c>
      <c r="Q212" s="686">
        <v>10702.5</v>
      </c>
      <c r="R212" s="635">
        <f>R210+1</f>
        <v>42184</v>
      </c>
      <c r="S212" s="776">
        <v>12816.65</v>
      </c>
      <c r="T212" s="635">
        <f>T210+1</f>
        <v>42555</v>
      </c>
      <c r="U212" s="776">
        <v>12382.97</v>
      </c>
      <c r="V212" s="635">
        <f>V210+1</f>
        <v>42919</v>
      </c>
      <c r="W212" s="767">
        <v>15381.27</v>
      </c>
      <c r="X212" s="635">
        <f>X210+1</f>
        <v>43283</v>
      </c>
      <c r="Y212" s="767">
        <v>12541.75</v>
      </c>
      <c r="Z212" s="635">
        <f>Z210+1</f>
        <v>43647</v>
      </c>
      <c r="AA212" s="767">
        <v>12396.81</v>
      </c>
      <c r="AB212" s="635">
        <f>AB210+1</f>
        <v>44011</v>
      </c>
      <c r="AC212" s="772"/>
      <c r="AD212" s="863" t="s">
        <v>136</v>
      </c>
      <c r="AJ212" s="751"/>
      <c r="AK212" s="752"/>
      <c r="AL212" s="752"/>
      <c r="AM212" s="762">
        <f t="shared" ref="AM212:AM218" si="448">SUM(AJ212:AL212)</f>
        <v>0</v>
      </c>
      <c r="AN212" s="763">
        <f>AN210+1</f>
        <v>44375</v>
      </c>
    </row>
    <row r="213" spans="1:40" hidden="1">
      <c r="A213" s="7">
        <v>7</v>
      </c>
      <c r="B213">
        <v>1</v>
      </c>
      <c r="C213" t="s">
        <v>104</v>
      </c>
      <c r="D213" s="694">
        <v>39630</v>
      </c>
      <c r="E213" s="695">
        <v>15822.15</v>
      </c>
      <c r="F213" s="697">
        <v>39994</v>
      </c>
      <c r="G213" s="695">
        <v>10843.71</v>
      </c>
      <c r="H213" s="697">
        <v>40358</v>
      </c>
      <c r="I213" s="695">
        <v>14060.48</v>
      </c>
      <c r="J213" s="683">
        <v>40722</v>
      </c>
      <c r="K213" s="695">
        <v>11878.85</v>
      </c>
      <c r="L213" s="683">
        <v>41093</v>
      </c>
      <c r="M213" s="707">
        <v>11659.25</v>
      </c>
      <c r="N213" s="683">
        <v>41457</v>
      </c>
      <c r="O213" s="690">
        <v>10712.35</v>
      </c>
      <c r="P213" s="689">
        <v>41821</v>
      </c>
      <c r="Q213" s="686">
        <v>13306.1</v>
      </c>
      <c r="R213" s="689">
        <f>R212+1</f>
        <v>42185</v>
      </c>
      <c r="S213" s="777">
        <v>15944.6</v>
      </c>
      <c r="T213" s="689">
        <f>T212+1</f>
        <v>42556</v>
      </c>
      <c r="U213" s="777">
        <v>8634.81</v>
      </c>
      <c r="V213" s="689">
        <f>V212+1</f>
        <v>42920</v>
      </c>
      <c r="W213" s="837">
        <v>10505.9</v>
      </c>
      <c r="X213" s="689">
        <f>X212+1</f>
        <v>43284</v>
      </c>
      <c r="Y213" s="837">
        <v>15005.82</v>
      </c>
      <c r="Z213" s="689">
        <f>Z212+1</f>
        <v>43648</v>
      </c>
      <c r="AA213" s="837">
        <v>12703.8</v>
      </c>
      <c r="AB213" s="689">
        <f>AB212+1</f>
        <v>44012</v>
      </c>
      <c r="AC213" s="818"/>
      <c r="AD213" s="864"/>
      <c r="AJ213" s="751"/>
      <c r="AK213" s="752"/>
      <c r="AL213" s="753"/>
      <c r="AM213" s="762">
        <f t="shared" si="448"/>
        <v>0</v>
      </c>
      <c r="AN213" s="763">
        <f>AN212+1</f>
        <v>44376</v>
      </c>
    </row>
    <row r="214" spans="1:40" hidden="1">
      <c r="A214" s="7">
        <v>7</v>
      </c>
      <c r="B214">
        <v>1</v>
      </c>
      <c r="C214" t="s">
        <v>105</v>
      </c>
      <c r="D214" s="697">
        <v>39631</v>
      </c>
      <c r="E214" s="695">
        <v>16542.21</v>
      </c>
      <c r="F214" s="697">
        <v>39995</v>
      </c>
      <c r="G214" s="695">
        <v>13735.63</v>
      </c>
      <c r="H214" s="697">
        <v>40359</v>
      </c>
      <c r="I214" s="695">
        <v>14781.39</v>
      </c>
      <c r="J214" s="683">
        <v>40723</v>
      </c>
      <c r="K214" s="695">
        <v>13981.29</v>
      </c>
      <c r="L214" s="683">
        <v>41094</v>
      </c>
      <c r="M214" s="707">
        <v>8965.11</v>
      </c>
      <c r="N214" s="683">
        <v>41458</v>
      </c>
      <c r="O214" s="690">
        <v>15836.3</v>
      </c>
      <c r="P214" s="689">
        <v>41822</v>
      </c>
      <c r="Q214" s="686">
        <v>10411.25</v>
      </c>
      <c r="R214" s="689">
        <f t="shared" ref="R214:T218" si="449">R213+1</f>
        <v>42186</v>
      </c>
      <c r="S214" s="777">
        <v>15714.75</v>
      </c>
      <c r="T214" s="689">
        <f t="shared" si="449"/>
        <v>42557</v>
      </c>
      <c r="U214" s="777">
        <v>11803.42</v>
      </c>
      <c r="V214" s="689">
        <f t="shared" ref="V214:Z214" si="450">V213+1</f>
        <v>42921</v>
      </c>
      <c r="W214" s="768">
        <v>11033.32</v>
      </c>
      <c r="X214" s="689">
        <f t="shared" ref="X214" si="451">X213+1</f>
        <v>43285</v>
      </c>
      <c r="Y214" s="768">
        <v>11358.85</v>
      </c>
      <c r="Z214" s="689">
        <f t="shared" si="450"/>
        <v>43649</v>
      </c>
      <c r="AA214" s="768">
        <v>14247.08</v>
      </c>
      <c r="AB214" s="689">
        <f t="shared" ref="AB214" si="452">AB213+1</f>
        <v>44013</v>
      </c>
      <c r="AC214" s="774"/>
      <c r="AD214" s="864"/>
      <c r="AJ214" s="751"/>
      <c r="AK214" s="752"/>
      <c r="AL214" s="753"/>
      <c r="AM214" s="762">
        <f t="shared" si="448"/>
        <v>0</v>
      </c>
      <c r="AN214" s="763">
        <f t="shared" ref="AN214:AN218" si="453">AN213+1</f>
        <v>44377</v>
      </c>
    </row>
    <row r="215" spans="1:40" hidden="1">
      <c r="A215" s="7">
        <v>7</v>
      </c>
      <c r="B215">
        <v>1</v>
      </c>
      <c r="C215" t="s">
        <v>106</v>
      </c>
      <c r="D215" s="697">
        <v>39632</v>
      </c>
      <c r="E215" s="695">
        <v>16832.900000000001</v>
      </c>
      <c r="F215" s="697">
        <v>39996</v>
      </c>
      <c r="G215" s="695">
        <v>12961.76</v>
      </c>
      <c r="H215" s="697">
        <v>40360</v>
      </c>
      <c r="I215" s="695">
        <v>10562.17</v>
      </c>
      <c r="J215" s="683">
        <v>40724</v>
      </c>
      <c r="K215" s="695">
        <v>15117.81</v>
      </c>
      <c r="L215" s="683">
        <v>41095</v>
      </c>
      <c r="M215" s="707">
        <v>9848.2999999999993</v>
      </c>
      <c r="N215" s="683">
        <v>41459</v>
      </c>
      <c r="O215" s="690">
        <v>9214.5</v>
      </c>
      <c r="P215" s="689">
        <v>41823</v>
      </c>
      <c r="Q215" s="686">
        <v>14244.2</v>
      </c>
      <c r="R215" s="689">
        <f t="shared" si="449"/>
        <v>42187</v>
      </c>
      <c r="S215" s="777">
        <v>17488.3</v>
      </c>
      <c r="T215" s="689">
        <f t="shared" si="449"/>
        <v>42558</v>
      </c>
      <c r="U215" s="777">
        <v>16501.5</v>
      </c>
      <c r="V215" s="689">
        <f t="shared" ref="V215:Z215" si="454">V214+1</f>
        <v>42922</v>
      </c>
      <c r="W215" s="768">
        <v>16611.8</v>
      </c>
      <c r="X215" s="689">
        <f t="shared" ref="X215" si="455">X214+1</f>
        <v>43286</v>
      </c>
      <c r="Y215" s="768">
        <v>15602.61</v>
      </c>
      <c r="Z215" s="689">
        <f t="shared" si="454"/>
        <v>43650</v>
      </c>
      <c r="AA215" s="768">
        <v>12963.56</v>
      </c>
      <c r="AB215" s="689">
        <f t="shared" ref="AB215" si="456">AB214+1</f>
        <v>44014</v>
      </c>
      <c r="AC215" s="774"/>
      <c r="AD215" s="864"/>
      <c r="AJ215" s="751"/>
      <c r="AK215" s="752"/>
      <c r="AL215" s="753"/>
      <c r="AM215" s="762">
        <f t="shared" si="448"/>
        <v>0</v>
      </c>
      <c r="AN215" s="763">
        <f t="shared" si="453"/>
        <v>44378</v>
      </c>
    </row>
    <row r="216" spans="1:40" hidden="1">
      <c r="A216" s="7">
        <v>7</v>
      </c>
      <c r="B216">
        <v>1</v>
      </c>
      <c r="C216" t="s">
        <v>107</v>
      </c>
      <c r="D216" s="697">
        <v>39633</v>
      </c>
      <c r="E216" s="695">
        <v>7561.04</v>
      </c>
      <c r="F216" s="697">
        <v>39997</v>
      </c>
      <c r="G216" s="695">
        <v>16712.439999999999</v>
      </c>
      <c r="H216" s="697">
        <v>40361</v>
      </c>
      <c r="I216" s="695">
        <v>15091.4</v>
      </c>
      <c r="J216" s="683">
        <v>40725</v>
      </c>
      <c r="K216" s="695">
        <v>14525.46</v>
      </c>
      <c r="L216" s="683">
        <v>41096</v>
      </c>
      <c r="M216" s="707">
        <v>14621.91</v>
      </c>
      <c r="N216" s="683">
        <v>41460</v>
      </c>
      <c r="O216" s="690">
        <v>21599.51</v>
      </c>
      <c r="P216" s="689">
        <v>41824</v>
      </c>
      <c r="Q216" s="686">
        <v>17117.22</v>
      </c>
      <c r="R216" s="689">
        <f t="shared" si="449"/>
        <v>42188</v>
      </c>
      <c r="S216" s="777">
        <v>17115.27</v>
      </c>
      <c r="T216" s="689">
        <f t="shared" si="449"/>
        <v>42559</v>
      </c>
      <c r="U216" s="777">
        <v>19636.71</v>
      </c>
      <c r="V216" s="689">
        <f t="shared" ref="V216:Z216" si="457">V215+1</f>
        <v>42923</v>
      </c>
      <c r="W216" s="768">
        <v>19711.95</v>
      </c>
      <c r="X216" s="689">
        <f t="shared" ref="X216" si="458">X215+1</f>
        <v>43287</v>
      </c>
      <c r="Y216" s="768">
        <v>19191.27</v>
      </c>
      <c r="Z216" s="689">
        <f t="shared" si="457"/>
        <v>43651</v>
      </c>
      <c r="AA216" s="768">
        <v>18710.900000000001</v>
      </c>
      <c r="AB216" s="689">
        <f t="shared" ref="AB216" si="459">AB215+1</f>
        <v>44015</v>
      </c>
      <c r="AC216" s="774"/>
      <c r="AD216" s="864"/>
      <c r="AJ216" s="751"/>
      <c r="AK216" s="752"/>
      <c r="AL216" s="753"/>
      <c r="AM216" s="762">
        <f t="shared" si="448"/>
        <v>0</v>
      </c>
      <c r="AN216" s="763">
        <f t="shared" si="453"/>
        <v>44379</v>
      </c>
    </row>
    <row r="217" spans="1:40" hidden="1">
      <c r="A217" s="7">
        <v>7</v>
      </c>
      <c r="B217">
        <v>1</v>
      </c>
      <c r="C217" t="s">
        <v>108</v>
      </c>
      <c r="D217" s="697">
        <v>39634</v>
      </c>
      <c r="E217" s="695">
        <v>16049.37</v>
      </c>
      <c r="F217" s="697">
        <v>39998</v>
      </c>
      <c r="G217" s="695">
        <v>9440.67</v>
      </c>
      <c r="H217" s="697">
        <v>40362</v>
      </c>
      <c r="I217" s="695">
        <v>12659.22</v>
      </c>
      <c r="J217" s="683">
        <v>40726</v>
      </c>
      <c r="K217" s="695">
        <v>11843.6</v>
      </c>
      <c r="L217" s="683">
        <v>41097</v>
      </c>
      <c r="M217" s="707">
        <v>13115.1</v>
      </c>
      <c r="N217" s="683">
        <v>41461</v>
      </c>
      <c r="O217" s="690">
        <v>21656.77</v>
      </c>
      <c r="P217" s="689">
        <v>41825</v>
      </c>
      <c r="Q217" s="686">
        <v>12026.02</v>
      </c>
      <c r="R217" s="689">
        <f t="shared" si="449"/>
        <v>42189</v>
      </c>
      <c r="S217" s="777">
        <v>12044.76</v>
      </c>
      <c r="T217" s="689">
        <f t="shared" si="449"/>
        <v>42560</v>
      </c>
      <c r="U217" s="777">
        <v>18634.75</v>
      </c>
      <c r="V217" s="689">
        <f t="shared" ref="V217:Z217" si="460">V216+1</f>
        <v>42924</v>
      </c>
      <c r="W217" s="768">
        <v>20521.560000000001</v>
      </c>
      <c r="X217" s="689">
        <f t="shared" ref="X217" si="461">X216+1</f>
        <v>43288</v>
      </c>
      <c r="Y217" s="768">
        <v>20077.240000000002</v>
      </c>
      <c r="Z217" s="689">
        <f t="shared" si="460"/>
        <v>43652</v>
      </c>
      <c r="AA217" s="768">
        <v>23287.119999999999</v>
      </c>
      <c r="AB217" s="689">
        <f t="shared" ref="AB217" si="462">AB216+1</f>
        <v>44016</v>
      </c>
      <c r="AC217" s="774"/>
      <c r="AD217" s="864"/>
      <c r="AJ217" s="751"/>
      <c r="AK217" s="752"/>
      <c r="AL217" s="753"/>
      <c r="AM217" s="762">
        <f t="shared" si="448"/>
        <v>0</v>
      </c>
      <c r="AN217" s="763">
        <f t="shared" si="453"/>
        <v>44380</v>
      </c>
    </row>
    <row r="218" spans="1:40" ht="15.75" hidden="1" thickBot="1">
      <c r="A218" s="12">
        <v>7</v>
      </c>
      <c r="B218" s="14">
        <v>1</v>
      </c>
      <c r="C218" s="14" t="s">
        <v>109</v>
      </c>
      <c r="D218" s="697">
        <v>39635</v>
      </c>
      <c r="E218" s="695">
        <v>6564.6</v>
      </c>
      <c r="F218" s="699">
        <v>39999</v>
      </c>
      <c r="G218" s="695">
        <v>7116.41</v>
      </c>
      <c r="H218" s="699">
        <v>40363</v>
      </c>
      <c r="I218" s="695">
        <v>5865.45</v>
      </c>
      <c r="J218" s="700">
        <v>40727</v>
      </c>
      <c r="K218" s="695">
        <v>7400.4</v>
      </c>
      <c r="L218" s="683">
        <v>41098</v>
      </c>
      <c r="M218" s="707">
        <v>10277.75</v>
      </c>
      <c r="N218" s="683">
        <v>41462</v>
      </c>
      <c r="O218" s="690">
        <v>11277.4</v>
      </c>
      <c r="P218" s="689">
        <v>41826</v>
      </c>
      <c r="Q218" s="686">
        <v>10417.049999999999</v>
      </c>
      <c r="R218" s="761">
        <f t="shared" si="449"/>
        <v>42190</v>
      </c>
      <c r="S218" s="778">
        <v>11085.4</v>
      </c>
      <c r="T218" s="761">
        <f t="shared" si="449"/>
        <v>42561</v>
      </c>
      <c r="U218" s="778">
        <v>14053.65</v>
      </c>
      <c r="V218" s="761">
        <f t="shared" ref="V218:Z218" si="463">V217+1</f>
        <v>42925</v>
      </c>
      <c r="W218" s="769">
        <v>12733.6</v>
      </c>
      <c r="X218" s="761">
        <f t="shared" ref="X218" si="464">X217+1</f>
        <v>43289</v>
      </c>
      <c r="Y218" s="769">
        <v>11778.15</v>
      </c>
      <c r="Z218" s="761">
        <f t="shared" si="463"/>
        <v>43653</v>
      </c>
      <c r="AA218" s="769">
        <v>12830.38</v>
      </c>
      <c r="AB218" s="761">
        <f t="shared" ref="AB218" si="465">AB217+1</f>
        <v>44017</v>
      </c>
      <c r="AC218" s="775"/>
      <c r="AD218" s="865"/>
      <c r="AE218" s="203">
        <f>SUM(E212:E218)</f>
        <v>90310.18</v>
      </c>
      <c r="AF218" s="203">
        <f>SUM(G212:G218)</f>
        <v>78884.77</v>
      </c>
      <c r="AG218" s="203">
        <f>SUM(I212:I218)</f>
        <v>82913.739999999991</v>
      </c>
      <c r="AH218" s="203">
        <f>SUM(K212:K218)</f>
        <v>90078.56</v>
      </c>
      <c r="AI218" s="203">
        <f>SUM(M212:M218)</f>
        <v>77155.12000000001</v>
      </c>
      <c r="AJ218" s="751"/>
      <c r="AK218" s="752"/>
      <c r="AL218" s="754"/>
      <c r="AM218" s="762">
        <f t="shared" si="448"/>
        <v>0</v>
      </c>
      <c r="AN218" s="763">
        <f t="shared" si="453"/>
        <v>44381</v>
      </c>
    </row>
    <row r="219" spans="1:40" s="428" customFormat="1" ht="15.75" hidden="1" thickBot="1">
      <c r="A219" s="486"/>
      <c r="C219" s="809" t="s">
        <v>282</v>
      </c>
      <c r="D219" s="810"/>
      <c r="E219" s="811"/>
      <c r="F219" s="810"/>
      <c r="G219" s="811"/>
      <c r="H219" s="810"/>
      <c r="I219" s="811"/>
      <c r="J219" s="812"/>
      <c r="K219" s="813"/>
      <c r="L219" s="812"/>
      <c r="M219" s="813"/>
      <c r="N219" s="812"/>
      <c r="O219" s="814">
        <f>SUM(O212:O218)</f>
        <v>100473.48</v>
      </c>
      <c r="P219" s="812"/>
      <c r="Q219" s="814">
        <f>SUM(Q212:Q218)</f>
        <v>88224.340000000011</v>
      </c>
      <c r="R219" s="815"/>
      <c r="S219" s="816">
        <f>SUM(S212:S218)</f>
        <v>102209.73</v>
      </c>
      <c r="T219" s="815"/>
      <c r="U219" s="816">
        <f>SUM(U212:U218)</f>
        <v>101647.81</v>
      </c>
      <c r="V219" s="815"/>
      <c r="W219" s="816">
        <f>SUM(W212:W218)</f>
        <v>106499.4</v>
      </c>
      <c r="X219" s="815"/>
      <c r="Y219" s="816">
        <f>SUM(Y212:Y218)</f>
        <v>105555.69</v>
      </c>
      <c r="Z219" s="815"/>
      <c r="AA219" s="816">
        <f>SUM(AA212:AA218)</f>
        <v>107139.65</v>
      </c>
      <c r="AB219" s="815"/>
      <c r="AC219" s="816">
        <f>SUM(AC212:AC218)</f>
        <v>0</v>
      </c>
      <c r="AD219" s="758"/>
      <c r="AE219" s="822"/>
      <c r="AF219" s="822"/>
      <c r="AG219" s="822"/>
      <c r="AH219" s="822"/>
      <c r="AI219" s="822"/>
      <c r="AJ219" s="820">
        <f>SUM(AJ212:AJ218)</f>
        <v>0</v>
      </c>
      <c r="AK219" s="823">
        <f>SUM(AK212:AK218)</f>
        <v>0</v>
      </c>
      <c r="AL219" s="823">
        <f>SUM(AL212:AL218)</f>
        <v>0</v>
      </c>
      <c r="AM219" s="821">
        <f>SUM(AM212:AM218)</f>
        <v>0</v>
      </c>
    </row>
    <row r="220" spans="1:40" ht="15.75" hidden="1" thickBot="1">
      <c r="A220" s="5">
        <v>7</v>
      </c>
      <c r="B220" s="16">
        <v>2</v>
      </c>
      <c r="C220" s="16" t="s">
        <v>103</v>
      </c>
      <c r="D220" s="699">
        <v>39636</v>
      </c>
      <c r="E220" s="695">
        <v>10742.42</v>
      </c>
      <c r="F220" s="694">
        <v>40000</v>
      </c>
      <c r="G220" s="695">
        <v>8669.51</v>
      </c>
      <c r="H220" s="694">
        <v>40364</v>
      </c>
      <c r="I220" s="695">
        <v>8264.36</v>
      </c>
      <c r="J220" s="701">
        <v>40728</v>
      </c>
      <c r="K220" s="695">
        <v>5054.3999999999996</v>
      </c>
      <c r="L220" s="683">
        <v>41099</v>
      </c>
      <c r="M220" s="707">
        <v>7503.05</v>
      </c>
      <c r="N220" s="683">
        <v>41463</v>
      </c>
      <c r="O220" s="690">
        <v>9175.65</v>
      </c>
      <c r="P220" s="689">
        <v>41827</v>
      </c>
      <c r="Q220" s="686">
        <v>7454.1</v>
      </c>
      <c r="R220" s="635">
        <f>R218+1</f>
        <v>42191</v>
      </c>
      <c r="S220" s="717">
        <v>7069.02</v>
      </c>
      <c r="T220" s="635">
        <f>T218+1</f>
        <v>42562</v>
      </c>
      <c r="U220" s="717">
        <v>10431.950000000001</v>
      </c>
      <c r="V220" s="635">
        <f>V218+1</f>
        <v>42926</v>
      </c>
      <c r="W220" s="767">
        <v>12649.35</v>
      </c>
      <c r="X220" s="635">
        <f>X218+1</f>
        <v>43290</v>
      </c>
      <c r="Y220" s="767">
        <v>8798.0300000000007</v>
      </c>
      <c r="Z220" s="635">
        <f>Z218+1</f>
        <v>43654</v>
      </c>
      <c r="AA220" s="767">
        <v>11602.09</v>
      </c>
      <c r="AB220" s="635">
        <f>AB218+1</f>
        <v>44018</v>
      </c>
      <c r="AC220" s="772"/>
      <c r="AD220" s="863" t="s">
        <v>137</v>
      </c>
      <c r="AJ220" s="751"/>
      <c r="AK220" s="752"/>
      <c r="AL220" s="752"/>
      <c r="AM220" s="762">
        <f t="shared" ref="AM220:AM226" si="466">SUM(AJ220:AL220)</f>
        <v>0</v>
      </c>
      <c r="AN220" s="763">
        <f>AN218+1</f>
        <v>44382</v>
      </c>
    </row>
    <row r="221" spans="1:40" hidden="1">
      <c r="A221" s="7">
        <v>7</v>
      </c>
      <c r="B221">
        <v>2</v>
      </c>
      <c r="C221" t="s">
        <v>104</v>
      </c>
      <c r="D221" s="694">
        <v>39637</v>
      </c>
      <c r="E221" s="695">
        <v>13087.6</v>
      </c>
      <c r="F221" s="697">
        <v>40001</v>
      </c>
      <c r="G221" s="695">
        <v>9957.1200000000008</v>
      </c>
      <c r="H221" s="697">
        <v>40365</v>
      </c>
      <c r="I221" s="695">
        <v>9863.1299999999992</v>
      </c>
      <c r="J221" s="683">
        <v>40729</v>
      </c>
      <c r="K221" s="695">
        <v>6719.83</v>
      </c>
      <c r="L221" s="683">
        <v>41100</v>
      </c>
      <c r="M221" s="707">
        <v>12157.4</v>
      </c>
      <c r="N221" s="683">
        <v>41464</v>
      </c>
      <c r="O221" s="690">
        <v>13317.26</v>
      </c>
      <c r="P221" s="689">
        <v>41828</v>
      </c>
      <c r="Q221" s="686">
        <v>11711.95</v>
      </c>
      <c r="R221" s="689">
        <f>R220+1</f>
        <v>42192</v>
      </c>
      <c r="S221" s="719">
        <v>11336.2</v>
      </c>
      <c r="T221" s="689">
        <f>T220+1</f>
        <v>42563</v>
      </c>
      <c r="U221" s="719">
        <v>12457.24</v>
      </c>
      <c r="V221" s="689">
        <f>V220+1</f>
        <v>42927</v>
      </c>
      <c r="W221" s="837">
        <v>16020.4</v>
      </c>
      <c r="X221" s="689">
        <f>X220+1</f>
        <v>43291</v>
      </c>
      <c r="Y221" s="837">
        <v>15030.67</v>
      </c>
      <c r="Z221" s="689">
        <f>Z220+1</f>
        <v>43655</v>
      </c>
      <c r="AA221" s="837">
        <v>15614.79</v>
      </c>
      <c r="AB221" s="689">
        <f>AB220+1</f>
        <v>44019</v>
      </c>
      <c r="AC221" s="818"/>
      <c r="AD221" s="864"/>
      <c r="AJ221" s="751"/>
      <c r="AK221" s="752"/>
      <c r="AL221" s="753"/>
      <c r="AM221" s="762">
        <f t="shared" si="466"/>
        <v>0</v>
      </c>
      <c r="AN221" s="763">
        <f>AN220+1</f>
        <v>44383</v>
      </c>
    </row>
    <row r="222" spans="1:40" hidden="1">
      <c r="A222" s="7">
        <v>7</v>
      </c>
      <c r="B222">
        <v>2</v>
      </c>
      <c r="C222" t="s">
        <v>105</v>
      </c>
      <c r="D222" s="697">
        <v>39638</v>
      </c>
      <c r="E222" s="695">
        <v>14542.25</v>
      </c>
      <c r="F222" s="697">
        <v>40002</v>
      </c>
      <c r="G222" s="695">
        <v>11259.43</v>
      </c>
      <c r="H222" s="697">
        <v>40366</v>
      </c>
      <c r="I222" s="695">
        <v>9577.77</v>
      </c>
      <c r="J222" s="683">
        <v>40730</v>
      </c>
      <c r="K222" s="695">
        <v>12078.07</v>
      </c>
      <c r="L222" s="683">
        <v>41101</v>
      </c>
      <c r="M222" s="707">
        <v>15316.15</v>
      </c>
      <c r="N222" s="683">
        <v>41465</v>
      </c>
      <c r="O222" s="690">
        <v>24595.79</v>
      </c>
      <c r="P222" s="689">
        <v>41829</v>
      </c>
      <c r="Q222" s="686">
        <v>18004.61</v>
      </c>
      <c r="R222" s="689">
        <f t="shared" ref="R222:T226" si="467">R221+1</f>
        <v>42193</v>
      </c>
      <c r="S222" s="719">
        <v>15396.4</v>
      </c>
      <c r="T222" s="689">
        <f t="shared" si="467"/>
        <v>42564</v>
      </c>
      <c r="U222" s="719">
        <v>17575.900000000001</v>
      </c>
      <c r="V222" s="689">
        <f t="shared" ref="V222:Z222" si="468">V221+1</f>
        <v>42928</v>
      </c>
      <c r="W222" s="768">
        <v>14891.31</v>
      </c>
      <c r="X222" s="689">
        <f t="shared" ref="X222" si="469">X221+1</f>
        <v>43292</v>
      </c>
      <c r="Y222" s="768">
        <v>13877.19</v>
      </c>
      <c r="Z222" s="689">
        <f t="shared" si="468"/>
        <v>43656</v>
      </c>
      <c r="AA222" s="768">
        <v>17719.89</v>
      </c>
      <c r="AB222" s="689">
        <f t="shared" ref="AB222" si="470">AB221+1</f>
        <v>44020</v>
      </c>
      <c r="AC222" s="774"/>
      <c r="AD222" s="864"/>
      <c r="AJ222" s="751"/>
      <c r="AK222" s="752"/>
      <c r="AL222" s="753"/>
      <c r="AM222" s="762">
        <f t="shared" si="466"/>
        <v>0</v>
      </c>
      <c r="AN222" s="763">
        <f t="shared" ref="AN222:AN226" si="471">AN221+1</f>
        <v>44384</v>
      </c>
    </row>
    <row r="223" spans="1:40" hidden="1">
      <c r="A223" s="7">
        <v>7</v>
      </c>
      <c r="B223">
        <v>2</v>
      </c>
      <c r="C223" t="s">
        <v>106</v>
      </c>
      <c r="D223" s="697">
        <v>39639</v>
      </c>
      <c r="E223" s="695">
        <v>16165.8</v>
      </c>
      <c r="F223" s="697">
        <v>40003</v>
      </c>
      <c r="G223" s="695">
        <v>10560.6</v>
      </c>
      <c r="H223" s="697">
        <v>40367</v>
      </c>
      <c r="I223" s="695">
        <v>12939.8</v>
      </c>
      <c r="J223" s="683">
        <v>40731</v>
      </c>
      <c r="K223" s="695">
        <v>14537.12</v>
      </c>
      <c r="L223" s="683">
        <v>41102</v>
      </c>
      <c r="M223" s="707">
        <v>14170.31</v>
      </c>
      <c r="N223" s="683">
        <v>41466</v>
      </c>
      <c r="O223" s="690">
        <v>13524.45</v>
      </c>
      <c r="P223" s="689">
        <v>41830</v>
      </c>
      <c r="Q223" s="686">
        <v>14078.9</v>
      </c>
      <c r="R223" s="689">
        <f t="shared" si="467"/>
        <v>42194</v>
      </c>
      <c r="S223" s="719">
        <v>13180.05</v>
      </c>
      <c r="T223" s="689">
        <f t="shared" si="467"/>
        <v>42565</v>
      </c>
      <c r="U223" s="719">
        <v>14935.96</v>
      </c>
      <c r="V223" s="689">
        <f t="shared" ref="V223:Z223" si="472">V222+1</f>
        <v>42929</v>
      </c>
      <c r="W223" s="768">
        <v>16160.91</v>
      </c>
      <c r="X223" s="689">
        <f t="shared" ref="X223" si="473">X222+1</f>
        <v>43293</v>
      </c>
      <c r="Y223" s="768">
        <v>14754.75</v>
      </c>
      <c r="Z223" s="689">
        <f t="shared" si="472"/>
        <v>43657</v>
      </c>
      <c r="AA223" s="768">
        <v>18250.150000000001</v>
      </c>
      <c r="AB223" s="689">
        <f t="shared" ref="AB223" si="474">AB222+1</f>
        <v>44021</v>
      </c>
      <c r="AC223" s="774"/>
      <c r="AD223" s="864"/>
      <c r="AJ223" s="751"/>
      <c r="AK223" s="752"/>
      <c r="AL223" s="753"/>
      <c r="AM223" s="762">
        <f t="shared" si="466"/>
        <v>0</v>
      </c>
      <c r="AN223" s="763">
        <f t="shared" si="471"/>
        <v>44385</v>
      </c>
    </row>
    <row r="224" spans="1:40" hidden="1">
      <c r="A224" s="7">
        <v>7</v>
      </c>
      <c r="B224">
        <v>2</v>
      </c>
      <c r="C224" t="s">
        <v>107</v>
      </c>
      <c r="D224" s="697">
        <v>39640</v>
      </c>
      <c r="E224" s="695">
        <v>20301.900000000001</v>
      </c>
      <c r="F224" s="697">
        <v>40004</v>
      </c>
      <c r="G224" s="695">
        <v>20296.21</v>
      </c>
      <c r="H224" s="697">
        <v>40368</v>
      </c>
      <c r="I224" s="695">
        <v>21147.65</v>
      </c>
      <c r="J224" s="683">
        <v>40732</v>
      </c>
      <c r="K224" s="695">
        <v>14832.52</v>
      </c>
      <c r="L224" s="683">
        <v>41103</v>
      </c>
      <c r="M224" s="707">
        <v>16948.75</v>
      </c>
      <c r="N224" s="683">
        <v>41467</v>
      </c>
      <c r="O224" s="690">
        <v>18940.75</v>
      </c>
      <c r="P224" s="689">
        <v>41831</v>
      </c>
      <c r="Q224" s="686">
        <v>20508.259999999998</v>
      </c>
      <c r="R224" s="689">
        <f t="shared" si="467"/>
        <v>42195</v>
      </c>
      <c r="S224" s="719">
        <v>23853.15</v>
      </c>
      <c r="T224" s="689">
        <f t="shared" si="467"/>
        <v>42566</v>
      </c>
      <c r="U224" s="719">
        <v>21483.360000000001</v>
      </c>
      <c r="V224" s="689">
        <f t="shared" ref="V224:Z224" si="475">V223+1</f>
        <v>42930</v>
      </c>
      <c r="W224" s="768">
        <v>20644.759999999998</v>
      </c>
      <c r="X224" s="689">
        <f t="shared" ref="X224" si="476">X223+1</f>
        <v>43294</v>
      </c>
      <c r="Y224" s="768">
        <v>22188.03</v>
      </c>
      <c r="Z224" s="689">
        <f t="shared" si="475"/>
        <v>43658</v>
      </c>
      <c r="AA224" s="768">
        <v>18490.650000000001</v>
      </c>
      <c r="AB224" s="689">
        <f t="shared" ref="AB224" si="477">AB223+1</f>
        <v>44022</v>
      </c>
      <c r="AC224" s="774"/>
      <c r="AD224" s="864"/>
      <c r="AJ224" s="751"/>
      <c r="AK224" s="752"/>
      <c r="AL224" s="753"/>
      <c r="AM224" s="762">
        <f t="shared" si="466"/>
        <v>0</v>
      </c>
      <c r="AN224" s="763">
        <f t="shared" si="471"/>
        <v>44386</v>
      </c>
    </row>
    <row r="225" spans="1:40" hidden="1">
      <c r="A225" s="7">
        <v>7</v>
      </c>
      <c r="B225">
        <v>2</v>
      </c>
      <c r="C225" t="s">
        <v>108</v>
      </c>
      <c r="D225" s="697">
        <v>39641</v>
      </c>
      <c r="E225" s="695">
        <v>23237.97</v>
      </c>
      <c r="F225" s="697">
        <v>40005</v>
      </c>
      <c r="G225" s="695">
        <v>20470.259999999998</v>
      </c>
      <c r="H225" s="697">
        <v>40369</v>
      </c>
      <c r="I225" s="695">
        <v>19858.54</v>
      </c>
      <c r="J225" s="683">
        <v>40733</v>
      </c>
      <c r="K225" s="695">
        <v>15404.42</v>
      </c>
      <c r="L225" s="683">
        <v>41104</v>
      </c>
      <c r="M225" s="707">
        <v>17201.95</v>
      </c>
      <c r="N225" s="683">
        <v>41468</v>
      </c>
      <c r="O225" s="690">
        <v>22003.27</v>
      </c>
      <c r="P225" s="689">
        <v>41832</v>
      </c>
      <c r="Q225" s="686">
        <v>20622.2</v>
      </c>
      <c r="R225" s="689">
        <f t="shared" si="467"/>
        <v>42196</v>
      </c>
      <c r="S225" s="719">
        <v>19692.97</v>
      </c>
      <c r="T225" s="689">
        <f t="shared" si="467"/>
        <v>42567</v>
      </c>
      <c r="U225" s="719">
        <v>19438.16</v>
      </c>
      <c r="V225" s="689">
        <f t="shared" ref="V225:Z225" si="478">V224+1</f>
        <v>42931</v>
      </c>
      <c r="W225" s="768">
        <v>22386.82</v>
      </c>
      <c r="X225" s="689">
        <f t="shared" ref="X225" si="479">X224+1</f>
        <v>43295</v>
      </c>
      <c r="Y225" s="768">
        <v>16631.62</v>
      </c>
      <c r="Z225" s="689">
        <f t="shared" si="478"/>
        <v>43659</v>
      </c>
      <c r="AA225" s="768">
        <v>22419.79</v>
      </c>
      <c r="AB225" s="689">
        <f t="shared" ref="AB225" si="480">AB224+1</f>
        <v>44023</v>
      </c>
      <c r="AC225" s="774"/>
      <c r="AD225" s="864"/>
      <c r="AJ225" s="751"/>
      <c r="AK225" s="752"/>
      <c r="AL225" s="753"/>
      <c r="AM225" s="762">
        <f t="shared" si="466"/>
        <v>0</v>
      </c>
      <c r="AN225" s="763">
        <f t="shared" si="471"/>
        <v>44387</v>
      </c>
    </row>
    <row r="226" spans="1:40" ht="15.75" hidden="1" thickBot="1">
      <c r="A226" s="12">
        <v>7</v>
      </c>
      <c r="B226" s="14">
        <v>2</v>
      </c>
      <c r="C226" s="14" t="s">
        <v>109</v>
      </c>
      <c r="D226" s="697">
        <v>39642</v>
      </c>
      <c r="E226" s="695">
        <v>7912.18</v>
      </c>
      <c r="F226" s="699">
        <v>40006</v>
      </c>
      <c r="G226" s="695">
        <v>10424.700000000001</v>
      </c>
      <c r="H226" s="699">
        <v>40370</v>
      </c>
      <c r="I226" s="695">
        <v>8239.32</v>
      </c>
      <c r="J226" s="700">
        <v>40734</v>
      </c>
      <c r="K226" s="695">
        <v>6309</v>
      </c>
      <c r="L226" s="683">
        <v>41105</v>
      </c>
      <c r="M226" s="707">
        <v>8667.2000000000007</v>
      </c>
      <c r="N226" s="683">
        <v>41469</v>
      </c>
      <c r="O226" s="690">
        <v>10246.75</v>
      </c>
      <c r="P226" s="689">
        <v>41833</v>
      </c>
      <c r="Q226" s="686">
        <v>9713.65</v>
      </c>
      <c r="R226" s="761">
        <f t="shared" si="467"/>
        <v>42197</v>
      </c>
      <c r="S226" s="723">
        <v>11337.01</v>
      </c>
      <c r="T226" s="761">
        <f t="shared" si="467"/>
        <v>42568</v>
      </c>
      <c r="U226" s="723">
        <v>12646.42</v>
      </c>
      <c r="V226" s="761">
        <f t="shared" ref="V226:Z226" si="481">V225+1</f>
        <v>42932</v>
      </c>
      <c r="W226" s="769">
        <v>14169.16</v>
      </c>
      <c r="X226" s="761">
        <f t="shared" ref="X226" si="482">X225+1</f>
        <v>43296</v>
      </c>
      <c r="Y226" s="769">
        <v>15036.95</v>
      </c>
      <c r="Z226" s="761">
        <f t="shared" si="481"/>
        <v>43660</v>
      </c>
      <c r="AA226" s="769">
        <v>12243.47</v>
      </c>
      <c r="AB226" s="761">
        <f t="shared" ref="AB226" si="483">AB225+1</f>
        <v>44024</v>
      </c>
      <c r="AC226" s="775"/>
      <c r="AD226" s="865"/>
      <c r="AE226" s="203">
        <f>SUM(E220:E226)</f>
        <v>105990.12</v>
      </c>
      <c r="AF226" s="203">
        <f>SUM(G220:G226)</f>
        <v>91637.83</v>
      </c>
      <c r="AG226" s="203">
        <f>SUM(I220:I226)</f>
        <v>89890.57</v>
      </c>
      <c r="AH226" s="203">
        <f>SUM(K220:K226)</f>
        <v>74935.360000000001</v>
      </c>
      <c r="AI226" s="203">
        <f>SUM(M220:M226)</f>
        <v>91964.81</v>
      </c>
      <c r="AJ226" s="751"/>
      <c r="AK226" s="752"/>
      <c r="AL226" s="754"/>
      <c r="AM226" s="762">
        <f t="shared" si="466"/>
        <v>0</v>
      </c>
      <c r="AN226" s="763">
        <f t="shared" si="471"/>
        <v>44388</v>
      </c>
    </row>
    <row r="227" spans="1:40" s="428" customFormat="1" ht="15.75" hidden="1" thickBot="1">
      <c r="A227" s="486"/>
      <c r="C227" s="809" t="s">
        <v>282</v>
      </c>
      <c r="D227" s="810"/>
      <c r="E227" s="811"/>
      <c r="F227" s="810"/>
      <c r="G227" s="811"/>
      <c r="H227" s="810"/>
      <c r="I227" s="811"/>
      <c r="J227" s="812"/>
      <c r="K227" s="813"/>
      <c r="L227" s="812"/>
      <c r="M227" s="813"/>
      <c r="N227" s="812"/>
      <c r="O227" s="814">
        <f>SUM(O220:O226)</f>
        <v>111803.92</v>
      </c>
      <c r="P227" s="812"/>
      <c r="Q227" s="814">
        <f>SUM(Q220:Q226)</f>
        <v>102093.67</v>
      </c>
      <c r="R227" s="815"/>
      <c r="S227" s="816">
        <f>SUM(S220:S226)</f>
        <v>101864.8</v>
      </c>
      <c r="T227" s="815"/>
      <c r="U227" s="816">
        <f>SUM(U220:U226)</f>
        <v>108968.99</v>
      </c>
      <c r="V227" s="815"/>
      <c r="W227" s="816">
        <f>SUM(W220:W226)</f>
        <v>116922.70999999999</v>
      </c>
      <c r="X227" s="815"/>
      <c r="Y227" s="816">
        <f>SUM(Y220:Y226)</f>
        <v>106317.23999999999</v>
      </c>
      <c r="Z227" s="815"/>
      <c r="AA227" s="816">
        <f>SUM(AA220:AA226)</f>
        <v>116340.83000000002</v>
      </c>
      <c r="AB227" s="815"/>
      <c r="AC227" s="816">
        <f>SUM(AC220:AC226)</f>
        <v>0</v>
      </c>
      <c r="AD227" s="758"/>
      <c r="AE227" s="822"/>
      <c r="AF227" s="822"/>
      <c r="AG227" s="822"/>
      <c r="AH227" s="822"/>
      <c r="AI227" s="822"/>
      <c r="AJ227" s="820">
        <f>SUM(AJ220:AJ226)</f>
        <v>0</v>
      </c>
      <c r="AK227" s="823">
        <f>SUM(AK220:AK226)</f>
        <v>0</v>
      </c>
      <c r="AL227" s="823">
        <f>SUM(AL220:AL226)</f>
        <v>0</v>
      </c>
      <c r="AM227" s="821">
        <f>SUM(AM220:AM226)</f>
        <v>0</v>
      </c>
    </row>
    <row r="228" spans="1:40" ht="15.75" hidden="1" thickBot="1">
      <c r="A228" s="5">
        <v>7</v>
      </c>
      <c r="B228" s="16">
        <v>3</v>
      </c>
      <c r="C228" s="16" t="s">
        <v>103</v>
      </c>
      <c r="D228" s="699">
        <v>39643</v>
      </c>
      <c r="E228" s="695">
        <v>13181.35</v>
      </c>
      <c r="F228" s="694">
        <v>40007</v>
      </c>
      <c r="G228" s="695">
        <v>10052.31</v>
      </c>
      <c r="H228" s="694">
        <v>40371</v>
      </c>
      <c r="I228" s="695">
        <v>8091.91</v>
      </c>
      <c r="J228" s="701">
        <v>40735</v>
      </c>
      <c r="K228" s="695">
        <v>10209.4</v>
      </c>
      <c r="L228" s="683">
        <v>41106</v>
      </c>
      <c r="M228" s="707">
        <v>8982.4500000000007</v>
      </c>
      <c r="N228" s="683">
        <v>41470</v>
      </c>
      <c r="O228" s="690">
        <v>10785.67</v>
      </c>
      <c r="P228" s="689">
        <v>41834</v>
      </c>
      <c r="Q228" s="686">
        <v>12604.04</v>
      </c>
      <c r="R228" s="635">
        <f>R226+1</f>
        <v>42198</v>
      </c>
      <c r="S228" s="717">
        <v>10503.5</v>
      </c>
      <c r="T228" s="635">
        <f>T226+1</f>
        <v>42569</v>
      </c>
      <c r="U228" s="717">
        <v>11305.85</v>
      </c>
      <c r="V228" s="635">
        <f>V226+1</f>
        <v>42933</v>
      </c>
      <c r="W228" s="767">
        <v>16216.23</v>
      </c>
      <c r="X228" s="635">
        <f>X226+1</f>
        <v>43297</v>
      </c>
      <c r="Y228" s="767">
        <v>9830.67</v>
      </c>
      <c r="Z228" s="635">
        <f>Z226+1</f>
        <v>43661</v>
      </c>
      <c r="AA228" s="767">
        <v>12044.7</v>
      </c>
      <c r="AB228" s="635">
        <f>AB226+1</f>
        <v>44025</v>
      </c>
      <c r="AC228" s="772"/>
      <c r="AD228" s="863" t="s">
        <v>138</v>
      </c>
      <c r="AJ228" s="751"/>
      <c r="AK228" s="752"/>
      <c r="AL228" s="752"/>
      <c r="AM228" s="762">
        <f t="shared" ref="AM228:AM234" si="484">SUM(AJ228:AL228)</f>
        <v>0</v>
      </c>
      <c r="AN228" s="763">
        <f>AN226+1</f>
        <v>44389</v>
      </c>
    </row>
    <row r="229" spans="1:40" hidden="1">
      <c r="A229" s="7">
        <v>7</v>
      </c>
      <c r="B229">
        <v>3</v>
      </c>
      <c r="C229" t="s">
        <v>104</v>
      </c>
      <c r="D229" s="694">
        <v>39644</v>
      </c>
      <c r="E229" s="695">
        <v>13948.1</v>
      </c>
      <c r="F229" s="697">
        <v>40008</v>
      </c>
      <c r="G229" s="695">
        <v>14008.06</v>
      </c>
      <c r="H229" s="697">
        <v>40372</v>
      </c>
      <c r="I229" s="695">
        <v>13489.95</v>
      </c>
      <c r="J229" s="683">
        <v>40736</v>
      </c>
      <c r="K229" s="695">
        <v>14666.89</v>
      </c>
      <c r="L229" s="683">
        <v>41107</v>
      </c>
      <c r="M229" s="707">
        <v>13515.9</v>
      </c>
      <c r="N229" s="683">
        <v>41471</v>
      </c>
      <c r="O229" s="690">
        <v>14418.9</v>
      </c>
      <c r="P229" s="689">
        <v>41835</v>
      </c>
      <c r="Q229" s="686">
        <v>11520.7</v>
      </c>
      <c r="R229" s="689">
        <f>R228+1</f>
        <v>42199</v>
      </c>
      <c r="S229" s="719">
        <v>15200.86</v>
      </c>
      <c r="T229" s="689">
        <f>T228+1</f>
        <v>42570</v>
      </c>
      <c r="U229" s="719">
        <v>17405.400000000001</v>
      </c>
      <c r="V229" s="689">
        <f>V228+1</f>
        <v>42934</v>
      </c>
      <c r="W229" s="837">
        <v>16027.07</v>
      </c>
      <c r="X229" s="689">
        <f>X228+1</f>
        <v>43298</v>
      </c>
      <c r="Y229" s="837">
        <v>13336.56</v>
      </c>
      <c r="Z229" s="689">
        <f>Z228+1</f>
        <v>43662</v>
      </c>
      <c r="AA229" s="837">
        <v>17388.27</v>
      </c>
      <c r="AB229" s="689">
        <f>AB228+1</f>
        <v>44026</v>
      </c>
      <c r="AC229" s="818"/>
      <c r="AD229" s="864"/>
      <c r="AJ229" s="751"/>
      <c r="AK229" s="752"/>
      <c r="AL229" s="753"/>
      <c r="AM229" s="762">
        <f t="shared" si="484"/>
        <v>0</v>
      </c>
      <c r="AN229" s="763">
        <f>AN228+1</f>
        <v>44390</v>
      </c>
    </row>
    <row r="230" spans="1:40" hidden="1">
      <c r="A230" s="7">
        <v>7</v>
      </c>
      <c r="B230">
        <v>3</v>
      </c>
      <c r="C230" t="s">
        <v>105</v>
      </c>
      <c r="D230" s="697">
        <v>39645</v>
      </c>
      <c r="E230" s="695">
        <v>14392.03</v>
      </c>
      <c r="F230" s="697">
        <v>40009</v>
      </c>
      <c r="G230" s="695">
        <v>13435.58</v>
      </c>
      <c r="H230" s="697">
        <v>40373</v>
      </c>
      <c r="I230" s="695">
        <v>14134.03</v>
      </c>
      <c r="J230" s="683">
        <v>40737</v>
      </c>
      <c r="K230" s="695">
        <v>13134.35</v>
      </c>
      <c r="L230" s="683">
        <v>41108</v>
      </c>
      <c r="M230" s="707">
        <v>12465.1</v>
      </c>
      <c r="N230" s="683">
        <v>41472</v>
      </c>
      <c r="O230" s="690">
        <v>17896.68</v>
      </c>
      <c r="P230" s="689">
        <v>41836</v>
      </c>
      <c r="Q230" s="686">
        <v>15865.47</v>
      </c>
      <c r="R230" s="689">
        <f t="shared" ref="R230:T234" si="485">R229+1</f>
        <v>42200</v>
      </c>
      <c r="S230" s="719">
        <v>14342.1</v>
      </c>
      <c r="T230" s="689">
        <f t="shared" si="485"/>
        <v>42571</v>
      </c>
      <c r="U230" s="719">
        <v>11261.25</v>
      </c>
      <c r="V230" s="689">
        <f t="shared" ref="V230:Z230" si="486">V229+1</f>
        <v>42935</v>
      </c>
      <c r="W230" s="768">
        <v>22681.74</v>
      </c>
      <c r="X230" s="689">
        <f t="shared" ref="X230" si="487">X229+1</f>
        <v>43299</v>
      </c>
      <c r="Y230" s="768">
        <v>13402.55</v>
      </c>
      <c r="Z230" s="689">
        <f t="shared" si="486"/>
        <v>43663</v>
      </c>
      <c r="AA230" s="768">
        <v>16577.580000000002</v>
      </c>
      <c r="AB230" s="689">
        <f t="shared" ref="AB230" si="488">AB229+1</f>
        <v>44027</v>
      </c>
      <c r="AC230" s="774"/>
      <c r="AD230" s="864"/>
      <c r="AJ230" s="751"/>
      <c r="AK230" s="752"/>
      <c r="AL230" s="753"/>
      <c r="AM230" s="762">
        <f t="shared" si="484"/>
        <v>0</v>
      </c>
      <c r="AN230" s="763">
        <f t="shared" ref="AN230:AN234" si="489">AN229+1</f>
        <v>44391</v>
      </c>
    </row>
    <row r="231" spans="1:40" hidden="1">
      <c r="A231" s="7">
        <v>7</v>
      </c>
      <c r="B231">
        <v>3</v>
      </c>
      <c r="C231" t="s">
        <v>106</v>
      </c>
      <c r="D231" s="697">
        <v>39646</v>
      </c>
      <c r="E231" s="695">
        <v>13917.06</v>
      </c>
      <c r="F231" s="697">
        <v>40010</v>
      </c>
      <c r="G231" s="695">
        <v>13153.09</v>
      </c>
      <c r="H231" s="697">
        <v>40374</v>
      </c>
      <c r="I231" s="695">
        <v>12165.09</v>
      </c>
      <c r="J231" s="683">
        <v>40738</v>
      </c>
      <c r="K231" s="695">
        <v>13120.1</v>
      </c>
      <c r="L231" s="683">
        <v>41109</v>
      </c>
      <c r="M231" s="707">
        <v>16390.939999999999</v>
      </c>
      <c r="N231" s="683">
        <v>41473</v>
      </c>
      <c r="O231" s="690">
        <v>17640.95</v>
      </c>
      <c r="P231" s="689">
        <v>41837</v>
      </c>
      <c r="Q231" s="686">
        <v>17063.97</v>
      </c>
      <c r="R231" s="689">
        <f t="shared" si="485"/>
        <v>42201</v>
      </c>
      <c r="S231" s="719">
        <v>13318.85</v>
      </c>
      <c r="T231" s="689">
        <f t="shared" si="485"/>
        <v>42572</v>
      </c>
      <c r="U231" s="719">
        <v>20020.900000000001</v>
      </c>
      <c r="V231" s="689">
        <f t="shared" ref="V231:Z231" si="490">V230+1</f>
        <v>42936</v>
      </c>
      <c r="W231" s="768">
        <v>22487.5</v>
      </c>
      <c r="X231" s="689">
        <f t="shared" ref="X231" si="491">X230+1</f>
        <v>43300</v>
      </c>
      <c r="Y231" s="768">
        <v>16927.71</v>
      </c>
      <c r="Z231" s="689">
        <f t="shared" si="490"/>
        <v>43664</v>
      </c>
      <c r="AA231" s="768">
        <v>18514.43</v>
      </c>
      <c r="AB231" s="689">
        <f t="shared" ref="AB231" si="492">AB230+1</f>
        <v>44028</v>
      </c>
      <c r="AC231" s="774"/>
      <c r="AD231" s="864"/>
      <c r="AJ231" s="751"/>
      <c r="AK231" s="752"/>
      <c r="AL231" s="753"/>
      <c r="AM231" s="762">
        <f t="shared" si="484"/>
        <v>0</v>
      </c>
      <c r="AN231" s="763">
        <f t="shared" si="489"/>
        <v>44392</v>
      </c>
    </row>
    <row r="232" spans="1:40" hidden="1">
      <c r="A232" s="7">
        <v>7</v>
      </c>
      <c r="B232">
        <v>3</v>
      </c>
      <c r="C232" t="s">
        <v>107</v>
      </c>
      <c r="D232" s="697">
        <v>39647</v>
      </c>
      <c r="E232" s="695">
        <v>19146.38</v>
      </c>
      <c r="F232" s="697">
        <v>40011</v>
      </c>
      <c r="G232" s="695">
        <v>20369.55</v>
      </c>
      <c r="H232" s="697">
        <v>40375</v>
      </c>
      <c r="I232" s="695">
        <v>16047.24</v>
      </c>
      <c r="J232" s="683">
        <v>40739</v>
      </c>
      <c r="K232" s="695">
        <v>16967.169999999998</v>
      </c>
      <c r="L232" s="683">
        <v>41110</v>
      </c>
      <c r="M232" s="707">
        <v>17242.759999999998</v>
      </c>
      <c r="N232" s="683">
        <v>41474</v>
      </c>
      <c r="O232" s="690">
        <v>19039.5</v>
      </c>
      <c r="P232" s="689">
        <v>41838</v>
      </c>
      <c r="Q232" s="686">
        <v>19017.18</v>
      </c>
      <c r="R232" s="689">
        <f t="shared" si="485"/>
        <v>42202</v>
      </c>
      <c r="S232" s="719">
        <v>17753.2</v>
      </c>
      <c r="T232" s="689">
        <f t="shared" si="485"/>
        <v>42573</v>
      </c>
      <c r="U232" s="719">
        <v>21162.86</v>
      </c>
      <c r="V232" s="689">
        <f t="shared" ref="V232:Z232" si="493">V231+1</f>
        <v>42937</v>
      </c>
      <c r="W232" s="768">
        <v>25549.95</v>
      </c>
      <c r="X232" s="689">
        <f t="shared" ref="X232" si="494">X231+1</f>
        <v>43301</v>
      </c>
      <c r="Y232" s="768">
        <v>20885.64</v>
      </c>
      <c r="Z232" s="689">
        <f t="shared" si="493"/>
        <v>43665</v>
      </c>
      <c r="AA232" s="768">
        <v>22684.95</v>
      </c>
      <c r="AB232" s="689">
        <f t="shared" ref="AB232" si="495">AB231+1</f>
        <v>44029</v>
      </c>
      <c r="AC232" s="774"/>
      <c r="AD232" s="864"/>
      <c r="AJ232" s="751"/>
      <c r="AK232" s="752"/>
      <c r="AL232" s="753"/>
      <c r="AM232" s="762">
        <f t="shared" si="484"/>
        <v>0</v>
      </c>
      <c r="AN232" s="763">
        <f t="shared" si="489"/>
        <v>44393</v>
      </c>
    </row>
    <row r="233" spans="1:40" hidden="1">
      <c r="A233" s="7">
        <v>7</v>
      </c>
      <c r="B233">
        <v>3</v>
      </c>
      <c r="C233" t="s">
        <v>108</v>
      </c>
      <c r="D233" s="697">
        <v>39648</v>
      </c>
      <c r="E233" s="695">
        <v>18813.64</v>
      </c>
      <c r="F233" s="697">
        <v>40012</v>
      </c>
      <c r="G233" s="695">
        <v>17634.400000000001</v>
      </c>
      <c r="H233" s="697">
        <v>40376</v>
      </c>
      <c r="I233" s="695">
        <v>16555.240000000002</v>
      </c>
      <c r="J233" s="683">
        <v>40740</v>
      </c>
      <c r="K233" s="695">
        <v>14844.4</v>
      </c>
      <c r="L233" s="683">
        <v>41111</v>
      </c>
      <c r="M233" s="707">
        <v>13605.3</v>
      </c>
      <c r="N233" s="683">
        <v>41475</v>
      </c>
      <c r="O233" s="690">
        <v>21664.46</v>
      </c>
      <c r="P233" s="689">
        <v>41839</v>
      </c>
      <c r="Q233" s="686">
        <v>17223.21</v>
      </c>
      <c r="R233" s="689">
        <f t="shared" si="485"/>
        <v>42203</v>
      </c>
      <c r="S233" s="719">
        <v>13309.56</v>
      </c>
      <c r="T233" s="689">
        <f t="shared" si="485"/>
        <v>42574</v>
      </c>
      <c r="U233" s="719">
        <v>21256.35</v>
      </c>
      <c r="V233" s="689">
        <f t="shared" ref="V233:Z233" si="496">V232+1</f>
        <v>42938</v>
      </c>
      <c r="W233" s="768">
        <v>19396.34</v>
      </c>
      <c r="X233" s="689">
        <f t="shared" ref="X233" si="497">X232+1</f>
        <v>43302</v>
      </c>
      <c r="Y233" s="768">
        <v>19427.259999999998</v>
      </c>
      <c r="Z233" s="689">
        <f t="shared" si="496"/>
        <v>43666</v>
      </c>
      <c r="AA233" s="768">
        <v>22752.54</v>
      </c>
      <c r="AB233" s="689">
        <f t="shared" ref="AB233" si="498">AB232+1</f>
        <v>44030</v>
      </c>
      <c r="AC233" s="774"/>
      <c r="AD233" s="864"/>
      <c r="AJ233" s="751"/>
      <c r="AK233" s="752"/>
      <c r="AL233" s="753"/>
      <c r="AM233" s="762">
        <f t="shared" si="484"/>
        <v>0</v>
      </c>
      <c r="AN233" s="763">
        <f t="shared" si="489"/>
        <v>44394</v>
      </c>
    </row>
    <row r="234" spans="1:40" ht="15.75" hidden="1" thickBot="1">
      <c r="A234" s="12">
        <v>7</v>
      </c>
      <c r="B234" s="14">
        <v>3</v>
      </c>
      <c r="C234" s="14" t="s">
        <v>109</v>
      </c>
      <c r="D234" s="697">
        <v>39649</v>
      </c>
      <c r="E234" s="695">
        <v>9545.4</v>
      </c>
      <c r="F234" s="699">
        <v>40013</v>
      </c>
      <c r="G234" s="695">
        <v>8977.91</v>
      </c>
      <c r="H234" s="699">
        <v>40377</v>
      </c>
      <c r="I234" s="695">
        <v>6518.47</v>
      </c>
      <c r="J234" s="700">
        <v>40741</v>
      </c>
      <c r="K234" s="695">
        <v>5970.05</v>
      </c>
      <c r="L234" s="683">
        <v>41112</v>
      </c>
      <c r="M234" s="707">
        <v>9355.7000000000007</v>
      </c>
      <c r="N234" s="683">
        <v>41476</v>
      </c>
      <c r="O234" s="690">
        <v>13579.45</v>
      </c>
      <c r="P234" s="689">
        <v>41840</v>
      </c>
      <c r="Q234" s="686">
        <v>11281.91</v>
      </c>
      <c r="R234" s="761">
        <f t="shared" si="485"/>
        <v>42204</v>
      </c>
      <c r="S234" s="723">
        <v>12839.85</v>
      </c>
      <c r="T234" s="761">
        <f t="shared" si="485"/>
        <v>42575</v>
      </c>
      <c r="U234" s="723">
        <v>12244.31</v>
      </c>
      <c r="V234" s="761">
        <f t="shared" ref="V234:Z234" si="499">V233+1</f>
        <v>42939</v>
      </c>
      <c r="W234" s="769">
        <v>12083.94</v>
      </c>
      <c r="X234" s="761">
        <f t="shared" ref="X234" si="500">X233+1</f>
        <v>43303</v>
      </c>
      <c r="Y234" s="769">
        <v>15030.18</v>
      </c>
      <c r="Z234" s="761">
        <f t="shared" si="499"/>
        <v>43667</v>
      </c>
      <c r="AA234" s="769">
        <v>16535.23</v>
      </c>
      <c r="AB234" s="761">
        <f t="shared" ref="AB234" si="501">AB233+1</f>
        <v>44031</v>
      </c>
      <c r="AC234" s="775"/>
      <c r="AD234" s="865"/>
      <c r="AE234" s="203">
        <f>SUM(E228:E234)</f>
        <v>102943.95999999999</v>
      </c>
      <c r="AF234" s="203">
        <f>SUM(G228:G234)</f>
        <v>97630.9</v>
      </c>
      <c r="AG234" s="203">
        <f>SUM(I228:I234)</f>
        <v>87001.93</v>
      </c>
      <c r="AH234" s="203">
        <f>SUM(K228:K234)</f>
        <v>88912.36</v>
      </c>
      <c r="AI234" s="203">
        <f>SUM(M228:M234)</f>
        <v>91558.15</v>
      </c>
      <c r="AJ234" s="751"/>
      <c r="AK234" s="752"/>
      <c r="AL234" s="754"/>
      <c r="AM234" s="762">
        <f t="shared" si="484"/>
        <v>0</v>
      </c>
      <c r="AN234" s="763">
        <f t="shared" si="489"/>
        <v>44395</v>
      </c>
    </row>
    <row r="235" spans="1:40" s="428" customFormat="1" ht="15.75" hidden="1" thickBot="1">
      <c r="A235" s="486"/>
      <c r="C235" s="809" t="s">
        <v>282</v>
      </c>
      <c r="D235" s="810"/>
      <c r="E235" s="811"/>
      <c r="F235" s="810"/>
      <c r="G235" s="811"/>
      <c r="H235" s="810"/>
      <c r="I235" s="811"/>
      <c r="J235" s="812"/>
      <c r="K235" s="813"/>
      <c r="L235" s="812"/>
      <c r="M235" s="813"/>
      <c r="N235" s="812"/>
      <c r="O235" s="814">
        <f>SUM(O228:O234)</f>
        <v>115025.61</v>
      </c>
      <c r="P235" s="812"/>
      <c r="Q235" s="814">
        <f>SUM(Q228:Q234)</f>
        <v>104576.48000000001</v>
      </c>
      <c r="R235" s="815"/>
      <c r="S235" s="816">
        <f>SUM(S228:S234)</f>
        <v>97267.92</v>
      </c>
      <c r="T235" s="815"/>
      <c r="U235" s="816">
        <f>SUM(U228:U234)</f>
        <v>114656.92000000001</v>
      </c>
      <c r="V235" s="815"/>
      <c r="W235" s="816">
        <f>SUM(W228:W234)</f>
        <v>134442.76999999999</v>
      </c>
      <c r="X235" s="815"/>
      <c r="Y235" s="816">
        <f>SUM(Y228:Y234)</f>
        <v>108840.57</v>
      </c>
      <c r="Z235" s="815"/>
      <c r="AA235" s="816">
        <f>SUM(AA228:AA234)</f>
        <v>126497.7</v>
      </c>
      <c r="AB235" s="815"/>
      <c r="AC235" s="816">
        <f>SUM(AC228:AC234)</f>
        <v>0</v>
      </c>
      <c r="AD235" s="758"/>
      <c r="AE235" s="822"/>
      <c r="AF235" s="822"/>
      <c r="AG235" s="822"/>
      <c r="AH235" s="822"/>
      <c r="AI235" s="822"/>
      <c r="AJ235" s="820">
        <f>SUM(AJ228:AJ234)</f>
        <v>0</v>
      </c>
      <c r="AK235" s="823">
        <f>SUM(AK228:AK234)</f>
        <v>0</v>
      </c>
      <c r="AL235" s="823">
        <f>SUM(AL228:AL234)</f>
        <v>0</v>
      </c>
      <c r="AM235" s="821">
        <f>SUM(AM228:AM234)</f>
        <v>0</v>
      </c>
    </row>
    <row r="236" spans="1:40" ht="15.75" hidden="1" thickBot="1">
      <c r="A236" s="5">
        <v>7</v>
      </c>
      <c r="B236" s="16">
        <v>4</v>
      </c>
      <c r="C236" s="16" t="s">
        <v>103</v>
      </c>
      <c r="D236" s="699">
        <v>39650</v>
      </c>
      <c r="E236" s="695">
        <v>9996.4599999999991</v>
      </c>
      <c r="F236" s="694">
        <v>40014</v>
      </c>
      <c r="G236" s="695">
        <v>7289.86</v>
      </c>
      <c r="H236" s="694">
        <v>40378</v>
      </c>
      <c r="I236" s="695">
        <v>7437.12</v>
      </c>
      <c r="J236" s="701">
        <v>40742</v>
      </c>
      <c r="K236" s="695">
        <v>8235.4599999999991</v>
      </c>
      <c r="L236" s="683">
        <v>41113</v>
      </c>
      <c r="M236" s="707">
        <v>9100.86</v>
      </c>
      <c r="N236" s="683">
        <v>41477</v>
      </c>
      <c r="O236" s="690">
        <v>8560.4500000000007</v>
      </c>
      <c r="P236" s="689">
        <v>41841</v>
      </c>
      <c r="Q236" s="686">
        <v>9110.4</v>
      </c>
      <c r="R236" s="635">
        <f>R234+1</f>
        <v>42205</v>
      </c>
      <c r="S236" s="717">
        <v>8379.35</v>
      </c>
      <c r="T236" s="635">
        <f>T234+1</f>
        <v>42576</v>
      </c>
      <c r="U236" s="717">
        <v>14899.71</v>
      </c>
      <c r="V236" s="635">
        <f>V234+1</f>
        <v>42940</v>
      </c>
      <c r="W236" s="767">
        <v>12664.71</v>
      </c>
      <c r="X236" s="635">
        <f>X234+1</f>
        <v>43304</v>
      </c>
      <c r="Y236" s="767">
        <v>10653.07</v>
      </c>
      <c r="Z236" s="635">
        <f>Z234+1</f>
        <v>43668</v>
      </c>
      <c r="AA236" s="767">
        <v>10222.32</v>
      </c>
      <c r="AB236" s="635">
        <f>AB234+1</f>
        <v>44032</v>
      </c>
      <c r="AC236" s="772"/>
      <c r="AD236" s="863" t="s">
        <v>139</v>
      </c>
      <c r="AJ236" s="751"/>
      <c r="AK236" s="752"/>
      <c r="AL236" s="752"/>
      <c r="AM236" s="762">
        <f t="shared" ref="AM236:AM242" si="502">SUM(AJ236:AL236)</f>
        <v>0</v>
      </c>
      <c r="AN236" s="763">
        <f>AN234+1</f>
        <v>44396</v>
      </c>
    </row>
    <row r="237" spans="1:40" hidden="1">
      <c r="A237" s="7">
        <v>7</v>
      </c>
      <c r="B237">
        <v>4</v>
      </c>
      <c r="C237" t="s">
        <v>104</v>
      </c>
      <c r="D237" s="694">
        <v>39651</v>
      </c>
      <c r="E237" s="695">
        <v>14045.95</v>
      </c>
      <c r="F237" s="697">
        <v>40015</v>
      </c>
      <c r="G237" s="695">
        <v>10441.379999999999</v>
      </c>
      <c r="H237" s="697">
        <v>40379</v>
      </c>
      <c r="I237" s="695">
        <v>10422.86</v>
      </c>
      <c r="J237" s="683">
        <v>40743</v>
      </c>
      <c r="K237" s="695">
        <v>11066.8</v>
      </c>
      <c r="L237" s="683">
        <v>41114</v>
      </c>
      <c r="M237" s="707">
        <v>10890.05</v>
      </c>
      <c r="N237" s="683">
        <v>41478</v>
      </c>
      <c r="O237" s="690">
        <v>13000.1</v>
      </c>
      <c r="P237" s="689">
        <v>41842</v>
      </c>
      <c r="Q237" s="686">
        <v>16538.060000000001</v>
      </c>
      <c r="R237" s="689">
        <f>R236+1</f>
        <v>42206</v>
      </c>
      <c r="S237" s="719">
        <v>13190.75</v>
      </c>
      <c r="T237" s="689">
        <f>T236+1</f>
        <v>42577</v>
      </c>
      <c r="U237" s="719">
        <v>12997.11</v>
      </c>
      <c r="V237" s="689">
        <f>V236+1</f>
        <v>42941</v>
      </c>
      <c r="W237" s="837">
        <v>15884.98</v>
      </c>
      <c r="X237" s="689">
        <f>X236+1</f>
        <v>43305</v>
      </c>
      <c r="Y237" s="837">
        <v>14522.09</v>
      </c>
      <c r="Z237" s="689">
        <f>Z236+1</f>
        <v>43669</v>
      </c>
      <c r="AA237" s="837">
        <v>14566.13</v>
      </c>
      <c r="AB237" s="689">
        <f>AB236+1</f>
        <v>44033</v>
      </c>
      <c r="AC237" s="818"/>
      <c r="AD237" s="864"/>
      <c r="AJ237" s="751"/>
      <c r="AK237" s="752"/>
      <c r="AL237" s="753"/>
      <c r="AM237" s="762">
        <f t="shared" si="502"/>
        <v>0</v>
      </c>
      <c r="AN237" s="763">
        <f>AN236+1</f>
        <v>44397</v>
      </c>
    </row>
    <row r="238" spans="1:40" hidden="1">
      <c r="A238" s="7">
        <v>7</v>
      </c>
      <c r="B238">
        <v>4</v>
      </c>
      <c r="C238" t="s">
        <v>105</v>
      </c>
      <c r="D238" s="697">
        <v>39652</v>
      </c>
      <c r="E238" s="695">
        <v>16518.77</v>
      </c>
      <c r="F238" s="697">
        <v>40016</v>
      </c>
      <c r="G238" s="695">
        <v>12416.49</v>
      </c>
      <c r="H238" s="697">
        <v>40380</v>
      </c>
      <c r="I238" s="695">
        <v>15042.03</v>
      </c>
      <c r="J238" s="683">
        <v>40744</v>
      </c>
      <c r="K238" s="695">
        <v>13446.78</v>
      </c>
      <c r="L238" s="683">
        <v>41115</v>
      </c>
      <c r="M238" s="707">
        <v>12830.86</v>
      </c>
      <c r="N238" s="683">
        <v>41479</v>
      </c>
      <c r="O238" s="690">
        <v>13534.35</v>
      </c>
      <c r="P238" s="689">
        <v>41843</v>
      </c>
      <c r="Q238" s="686">
        <v>14265.81</v>
      </c>
      <c r="R238" s="689">
        <f t="shared" ref="R238:T242" si="503">R237+1</f>
        <v>42207</v>
      </c>
      <c r="S238" s="719">
        <v>14250.16</v>
      </c>
      <c r="T238" s="689">
        <f t="shared" si="503"/>
        <v>42578</v>
      </c>
      <c r="U238" s="719">
        <v>12470.85</v>
      </c>
      <c r="V238" s="689">
        <f t="shared" ref="V238:Z238" si="504">V237+1</f>
        <v>42942</v>
      </c>
      <c r="W238" s="768">
        <v>17996.79</v>
      </c>
      <c r="X238" s="689">
        <f t="shared" ref="X238" si="505">X237+1</f>
        <v>43306</v>
      </c>
      <c r="Y238" s="768">
        <v>18716.39</v>
      </c>
      <c r="Z238" s="689">
        <f t="shared" si="504"/>
        <v>43670</v>
      </c>
      <c r="AA238" s="768">
        <v>18663.53</v>
      </c>
      <c r="AB238" s="689">
        <f t="shared" ref="AB238" si="506">AB237+1</f>
        <v>44034</v>
      </c>
      <c r="AC238" s="774"/>
      <c r="AD238" s="864"/>
      <c r="AJ238" s="751"/>
      <c r="AK238" s="752"/>
      <c r="AL238" s="753"/>
      <c r="AM238" s="762">
        <f t="shared" si="502"/>
        <v>0</v>
      </c>
      <c r="AN238" s="763">
        <f t="shared" ref="AN238:AN242" si="507">AN237+1</f>
        <v>44398</v>
      </c>
    </row>
    <row r="239" spans="1:40" hidden="1">
      <c r="A239" s="7">
        <v>7</v>
      </c>
      <c r="B239">
        <v>4</v>
      </c>
      <c r="C239" t="s">
        <v>106</v>
      </c>
      <c r="D239" s="697">
        <v>39653</v>
      </c>
      <c r="E239" s="695">
        <v>16240.53</v>
      </c>
      <c r="F239" s="697">
        <v>40017</v>
      </c>
      <c r="G239" s="695">
        <v>12115.64</v>
      </c>
      <c r="H239" s="697">
        <v>40381</v>
      </c>
      <c r="I239" s="695">
        <v>16982.52</v>
      </c>
      <c r="J239" s="683">
        <v>40745</v>
      </c>
      <c r="K239" s="695">
        <v>13842.35</v>
      </c>
      <c r="L239" s="683">
        <v>41116</v>
      </c>
      <c r="M239" s="707">
        <v>12104.55</v>
      </c>
      <c r="N239" s="683">
        <v>41480</v>
      </c>
      <c r="O239" s="690">
        <v>14032.15</v>
      </c>
      <c r="P239" s="689">
        <v>41844</v>
      </c>
      <c r="Q239" s="686">
        <v>17981.07</v>
      </c>
      <c r="R239" s="689">
        <f t="shared" si="503"/>
        <v>42208</v>
      </c>
      <c r="S239" s="719">
        <v>15673.42</v>
      </c>
      <c r="T239" s="689">
        <f t="shared" si="503"/>
        <v>42579</v>
      </c>
      <c r="U239" s="719">
        <v>17597.5</v>
      </c>
      <c r="V239" s="689">
        <f t="shared" ref="V239:Z239" si="508">V238+1</f>
        <v>42943</v>
      </c>
      <c r="W239" s="768">
        <v>19988.25</v>
      </c>
      <c r="X239" s="689">
        <f t="shared" ref="X239" si="509">X238+1</f>
        <v>43307</v>
      </c>
      <c r="Y239" s="768">
        <v>23286.799999999999</v>
      </c>
      <c r="Z239" s="689">
        <f t="shared" si="508"/>
        <v>43671</v>
      </c>
      <c r="AA239" s="768">
        <v>17414.349999999999</v>
      </c>
      <c r="AB239" s="689">
        <f t="shared" ref="AB239" si="510">AB238+1</f>
        <v>44035</v>
      </c>
      <c r="AC239" s="774"/>
      <c r="AD239" s="864"/>
      <c r="AJ239" s="751"/>
      <c r="AK239" s="752"/>
      <c r="AL239" s="753"/>
      <c r="AM239" s="762">
        <f t="shared" si="502"/>
        <v>0</v>
      </c>
      <c r="AN239" s="763">
        <f t="shared" si="507"/>
        <v>44399</v>
      </c>
    </row>
    <row r="240" spans="1:40" hidden="1">
      <c r="A240" s="7">
        <v>7</v>
      </c>
      <c r="B240">
        <v>4</v>
      </c>
      <c r="C240" t="s">
        <v>107</v>
      </c>
      <c r="D240" s="697">
        <v>39654</v>
      </c>
      <c r="E240" s="695">
        <v>17006.52</v>
      </c>
      <c r="F240" s="697">
        <v>40018</v>
      </c>
      <c r="G240" s="695">
        <v>15561.86</v>
      </c>
      <c r="H240" s="697">
        <v>40382</v>
      </c>
      <c r="I240" s="695">
        <v>17315.38</v>
      </c>
      <c r="J240" s="683">
        <v>40746</v>
      </c>
      <c r="K240" s="695">
        <v>18750.37</v>
      </c>
      <c r="L240" s="683">
        <v>41117</v>
      </c>
      <c r="M240" s="707">
        <v>13698.4</v>
      </c>
      <c r="N240" s="683">
        <v>41481</v>
      </c>
      <c r="O240" s="690">
        <v>18452.099999999999</v>
      </c>
      <c r="P240" s="689">
        <v>41845</v>
      </c>
      <c r="Q240" s="686">
        <v>19192.41</v>
      </c>
      <c r="R240" s="689">
        <f t="shared" si="503"/>
        <v>42209</v>
      </c>
      <c r="S240" s="719">
        <v>16102.11</v>
      </c>
      <c r="T240" s="689">
        <f t="shared" si="503"/>
        <v>42580</v>
      </c>
      <c r="U240" s="719">
        <v>22296.41</v>
      </c>
      <c r="V240" s="689">
        <f t="shared" ref="V240:Z240" si="511">V239+1</f>
        <v>42944</v>
      </c>
      <c r="W240" s="768">
        <v>22249.61</v>
      </c>
      <c r="X240" s="689">
        <f t="shared" ref="X240" si="512">X239+1</f>
        <v>43308</v>
      </c>
      <c r="Y240" s="768">
        <v>26222.59</v>
      </c>
      <c r="Z240" s="689">
        <f t="shared" si="511"/>
        <v>43672</v>
      </c>
      <c r="AA240" s="768">
        <v>17744.78</v>
      </c>
      <c r="AB240" s="689">
        <f t="shared" ref="AB240" si="513">AB239+1</f>
        <v>44036</v>
      </c>
      <c r="AC240" s="774"/>
      <c r="AD240" s="864"/>
      <c r="AJ240" s="751"/>
      <c r="AK240" s="752"/>
      <c r="AL240" s="753"/>
      <c r="AM240" s="762">
        <f t="shared" si="502"/>
        <v>0</v>
      </c>
      <c r="AN240" s="763">
        <f t="shared" si="507"/>
        <v>44400</v>
      </c>
    </row>
    <row r="241" spans="1:40" hidden="1">
      <c r="A241" s="7">
        <v>7</v>
      </c>
      <c r="B241">
        <v>4</v>
      </c>
      <c r="C241" t="s">
        <v>108</v>
      </c>
      <c r="D241" s="697">
        <v>39655</v>
      </c>
      <c r="E241" s="695">
        <v>23009.74</v>
      </c>
      <c r="F241" s="697">
        <v>40019</v>
      </c>
      <c r="G241" s="695">
        <v>15478.05</v>
      </c>
      <c r="H241" s="697">
        <v>40383</v>
      </c>
      <c r="I241" s="695">
        <v>14147.3</v>
      </c>
      <c r="J241" s="683">
        <v>40747</v>
      </c>
      <c r="K241" s="695">
        <v>20134.52</v>
      </c>
      <c r="L241" s="683">
        <v>41118</v>
      </c>
      <c r="M241" s="707">
        <v>16161.49</v>
      </c>
      <c r="N241" s="683">
        <v>41482</v>
      </c>
      <c r="O241" s="690">
        <v>21992.5</v>
      </c>
      <c r="P241" s="689">
        <v>41846</v>
      </c>
      <c r="Q241" s="686">
        <v>19292.5</v>
      </c>
      <c r="R241" s="689">
        <f t="shared" si="503"/>
        <v>42210</v>
      </c>
      <c r="S241" s="719">
        <v>15750.66</v>
      </c>
      <c r="T241" s="689">
        <f t="shared" si="503"/>
        <v>42581</v>
      </c>
      <c r="U241" s="719">
        <v>18810.45</v>
      </c>
      <c r="V241" s="689">
        <f t="shared" ref="V241:Z241" si="514">V240+1</f>
        <v>42945</v>
      </c>
      <c r="W241" s="768">
        <v>22871.91</v>
      </c>
      <c r="X241" s="689">
        <f t="shared" ref="X241" si="515">X240+1</f>
        <v>43309</v>
      </c>
      <c r="Y241" s="768">
        <v>18787.87</v>
      </c>
      <c r="Z241" s="689">
        <f t="shared" si="514"/>
        <v>43673</v>
      </c>
      <c r="AA241" s="768">
        <v>19111.73</v>
      </c>
      <c r="AB241" s="689">
        <f t="shared" ref="AB241" si="516">AB240+1</f>
        <v>44037</v>
      </c>
      <c r="AC241" s="774"/>
      <c r="AD241" s="864"/>
      <c r="AJ241" s="751"/>
      <c r="AK241" s="752"/>
      <c r="AL241" s="753"/>
      <c r="AM241" s="762">
        <f t="shared" si="502"/>
        <v>0</v>
      </c>
      <c r="AN241" s="763">
        <f t="shared" si="507"/>
        <v>44401</v>
      </c>
    </row>
    <row r="242" spans="1:40" ht="15.75" hidden="1" thickBot="1">
      <c r="A242" s="12">
        <v>7</v>
      </c>
      <c r="B242" s="14">
        <v>4</v>
      </c>
      <c r="C242" s="14" t="s">
        <v>109</v>
      </c>
      <c r="D242" s="697">
        <v>39656</v>
      </c>
      <c r="E242" s="695">
        <v>7631.96</v>
      </c>
      <c r="F242" s="699">
        <v>40020</v>
      </c>
      <c r="G242" s="695">
        <v>9129.3799999999992</v>
      </c>
      <c r="H242" s="699">
        <v>40384</v>
      </c>
      <c r="I242" s="695">
        <v>7661.32</v>
      </c>
      <c r="J242" s="700">
        <v>40748</v>
      </c>
      <c r="K242" s="695">
        <v>5557.75</v>
      </c>
      <c r="L242" s="683">
        <v>41119</v>
      </c>
      <c r="M242" s="707">
        <v>7830.36</v>
      </c>
      <c r="N242" s="683">
        <v>41483</v>
      </c>
      <c r="O242" s="690">
        <v>9128.5</v>
      </c>
      <c r="P242" s="689">
        <v>41847</v>
      </c>
      <c r="Q242" s="686">
        <v>10689.75</v>
      </c>
      <c r="R242" s="761">
        <f t="shared" si="503"/>
        <v>42211</v>
      </c>
      <c r="S242" s="723">
        <v>9374.07</v>
      </c>
      <c r="T242" s="761">
        <f t="shared" si="503"/>
        <v>42582</v>
      </c>
      <c r="U242" s="723">
        <v>12059.06</v>
      </c>
      <c r="V242" s="761">
        <f t="shared" ref="V242:Z242" si="517">V241+1</f>
        <v>42946</v>
      </c>
      <c r="W242" s="769">
        <v>14428.92</v>
      </c>
      <c r="X242" s="761">
        <f t="shared" ref="X242" si="518">X241+1</f>
        <v>43310</v>
      </c>
      <c r="Y242" s="769">
        <v>12377.13</v>
      </c>
      <c r="Z242" s="761">
        <f t="shared" si="517"/>
        <v>43674</v>
      </c>
      <c r="AA242" s="769">
        <v>15106.63</v>
      </c>
      <c r="AB242" s="761">
        <f t="shared" ref="AB242" si="519">AB241+1</f>
        <v>44038</v>
      </c>
      <c r="AC242" s="775"/>
      <c r="AD242" s="865"/>
      <c r="AE242" s="203">
        <f>SUM(E236:E242)</f>
        <v>104449.93000000001</v>
      </c>
      <c r="AF242" s="203">
        <f>SUM(G236:G242)</f>
        <v>82432.66</v>
      </c>
      <c r="AG242" s="203">
        <f>SUM(I236:I242)</f>
        <v>89008.53</v>
      </c>
      <c r="AH242" s="203">
        <f>SUM(K236:K242)</f>
        <v>91034.03</v>
      </c>
      <c r="AI242" s="203">
        <f>SUM(M236:M242)</f>
        <v>82616.570000000007</v>
      </c>
      <c r="AJ242" s="751"/>
      <c r="AK242" s="752"/>
      <c r="AL242" s="754"/>
      <c r="AM242" s="762">
        <f t="shared" si="502"/>
        <v>0</v>
      </c>
      <c r="AN242" s="763">
        <f t="shared" si="507"/>
        <v>44402</v>
      </c>
    </row>
    <row r="243" spans="1:40" s="428" customFormat="1" ht="15.75" hidden="1" thickBot="1">
      <c r="A243" s="486"/>
      <c r="C243" s="809" t="s">
        <v>282</v>
      </c>
      <c r="D243" s="810"/>
      <c r="E243" s="811"/>
      <c r="F243" s="810"/>
      <c r="G243" s="811"/>
      <c r="H243" s="810"/>
      <c r="I243" s="811"/>
      <c r="J243" s="812"/>
      <c r="K243" s="813"/>
      <c r="L243" s="812"/>
      <c r="M243" s="813"/>
      <c r="N243" s="812"/>
      <c r="O243" s="814">
        <f>SUM(O236:O242)</f>
        <v>98700.15</v>
      </c>
      <c r="P243" s="812"/>
      <c r="Q243" s="814">
        <f>SUM(Q236:Q242)</f>
        <v>107070</v>
      </c>
      <c r="R243" s="815"/>
      <c r="S243" s="816">
        <f>SUM(S236:S242)</f>
        <v>92720.51999999999</v>
      </c>
      <c r="T243" s="815"/>
      <c r="U243" s="816">
        <f>SUM(U236:U242)</f>
        <v>111131.09</v>
      </c>
      <c r="V243" s="815"/>
      <c r="W243" s="816">
        <f>SUM(W236:W242)</f>
        <v>126085.17</v>
      </c>
      <c r="X243" s="815"/>
      <c r="Y243" s="816">
        <f>SUM(Y236:Y242)</f>
        <v>124565.94</v>
      </c>
      <c r="Z243" s="815"/>
      <c r="AA243" s="816">
        <f>SUM(AA236:AA242)</f>
        <v>112829.46999999999</v>
      </c>
      <c r="AB243" s="815"/>
      <c r="AC243" s="816">
        <f>SUM(AC236:AC242)</f>
        <v>0</v>
      </c>
      <c r="AD243" s="819"/>
      <c r="AE243" s="822"/>
      <c r="AF243" s="822"/>
      <c r="AG243" s="822"/>
      <c r="AH243" s="822"/>
      <c r="AI243" s="822"/>
      <c r="AJ243" s="820">
        <f>SUM(AJ236:AJ242)</f>
        <v>0</v>
      </c>
      <c r="AK243" s="823">
        <f>SUM(AK236:AK242)</f>
        <v>0</v>
      </c>
      <c r="AL243" s="823">
        <f>SUM(AL236:AL242)</f>
        <v>0</v>
      </c>
      <c r="AM243" s="821">
        <f>SUM(AM236:AM242)</f>
        <v>0</v>
      </c>
    </row>
    <row r="244" spans="1:40" ht="15.75" hidden="1" thickBot="1">
      <c r="A244" s="5">
        <v>8</v>
      </c>
      <c r="B244" s="16">
        <v>1</v>
      </c>
      <c r="C244" s="16" t="s">
        <v>103</v>
      </c>
      <c r="D244" s="699">
        <v>39657</v>
      </c>
      <c r="E244" s="695">
        <v>11900.76</v>
      </c>
      <c r="F244" s="694">
        <v>40021</v>
      </c>
      <c r="G244" s="695">
        <v>7893.91</v>
      </c>
      <c r="H244" s="694">
        <v>40385</v>
      </c>
      <c r="I244" s="695">
        <v>7561.19</v>
      </c>
      <c r="J244" s="701">
        <v>40749</v>
      </c>
      <c r="K244" s="695">
        <v>9945.9599999999991</v>
      </c>
      <c r="L244" s="683">
        <v>41120</v>
      </c>
      <c r="M244" s="707">
        <v>10405.450000000001</v>
      </c>
      <c r="N244" s="683">
        <v>41484</v>
      </c>
      <c r="O244" s="690">
        <v>10576.35</v>
      </c>
      <c r="P244" s="689">
        <v>41848</v>
      </c>
      <c r="Q244" s="686">
        <v>9722.2000000000007</v>
      </c>
      <c r="R244" s="635">
        <f>R242+1</f>
        <v>42212</v>
      </c>
      <c r="S244" s="717">
        <v>9490.2099999999991</v>
      </c>
      <c r="T244" s="635">
        <f>T242+1</f>
        <v>42583</v>
      </c>
      <c r="U244" s="717">
        <v>9027.1</v>
      </c>
      <c r="V244" s="635">
        <f>V242+1</f>
        <v>42947</v>
      </c>
      <c r="W244" s="767">
        <v>16392.82</v>
      </c>
      <c r="X244" s="635">
        <f>X242+1</f>
        <v>43311</v>
      </c>
      <c r="Y244" s="767">
        <v>13188.17</v>
      </c>
      <c r="Z244" s="635">
        <f>Z242+1</f>
        <v>43675</v>
      </c>
      <c r="AA244" s="767">
        <v>13723.96</v>
      </c>
      <c r="AB244" s="635">
        <f>AB242+1</f>
        <v>44039</v>
      </c>
      <c r="AC244" s="772"/>
      <c r="AD244" s="863" t="s">
        <v>140</v>
      </c>
      <c r="AJ244" s="751"/>
      <c r="AK244" s="752"/>
      <c r="AL244" s="752"/>
      <c r="AM244" s="762">
        <f t="shared" ref="AM244:AM250" si="520">SUM(AJ244:AL244)</f>
        <v>0</v>
      </c>
      <c r="AN244" s="763">
        <f>AN242+1</f>
        <v>44403</v>
      </c>
    </row>
    <row r="245" spans="1:40" hidden="1">
      <c r="A245" s="7">
        <v>8</v>
      </c>
      <c r="B245">
        <v>1</v>
      </c>
      <c r="C245" t="s">
        <v>104</v>
      </c>
      <c r="D245" s="694">
        <v>39658</v>
      </c>
      <c r="E245" s="695">
        <v>16151.19</v>
      </c>
      <c r="F245" s="697">
        <v>40022</v>
      </c>
      <c r="G245" s="695">
        <v>14442.01</v>
      </c>
      <c r="H245" s="697">
        <v>40386</v>
      </c>
      <c r="I245" s="695">
        <v>11248.28</v>
      </c>
      <c r="J245" s="683">
        <v>40750</v>
      </c>
      <c r="K245" s="695">
        <v>9551.27</v>
      </c>
      <c r="L245" s="683">
        <v>41121</v>
      </c>
      <c r="M245" s="707">
        <v>14354.11</v>
      </c>
      <c r="N245" s="683">
        <v>41485</v>
      </c>
      <c r="O245" s="690">
        <v>13560.56</v>
      </c>
      <c r="P245" s="689">
        <v>41849</v>
      </c>
      <c r="Q245" s="686">
        <v>13087</v>
      </c>
      <c r="R245" s="689">
        <f>R244+1</f>
        <v>42213</v>
      </c>
      <c r="S245" s="719">
        <v>16218.7</v>
      </c>
      <c r="T245" s="689">
        <f>T244+1</f>
        <v>42584</v>
      </c>
      <c r="U245" s="719">
        <v>16452</v>
      </c>
      <c r="V245" s="689">
        <f>V244+1</f>
        <v>42948</v>
      </c>
      <c r="W245" s="837">
        <v>12403.52</v>
      </c>
      <c r="X245" s="689">
        <f>X244+1</f>
        <v>43312</v>
      </c>
      <c r="Y245" s="837">
        <v>11334.25</v>
      </c>
      <c r="Z245" s="689">
        <f>Z244+1</f>
        <v>43676</v>
      </c>
      <c r="AA245" s="837">
        <v>14070.38</v>
      </c>
      <c r="AB245" s="689">
        <f>AB244+1</f>
        <v>44040</v>
      </c>
      <c r="AC245" s="818"/>
      <c r="AD245" s="864"/>
      <c r="AJ245" s="751"/>
      <c r="AK245" s="752"/>
      <c r="AL245" s="753"/>
      <c r="AM245" s="762">
        <f t="shared" si="520"/>
        <v>0</v>
      </c>
      <c r="AN245" s="763">
        <f>AN244+1</f>
        <v>44404</v>
      </c>
    </row>
    <row r="246" spans="1:40" hidden="1">
      <c r="A246" s="7">
        <v>8</v>
      </c>
      <c r="B246">
        <v>1</v>
      </c>
      <c r="C246" t="s">
        <v>105</v>
      </c>
      <c r="D246" s="697">
        <v>39659</v>
      </c>
      <c r="E246" s="695">
        <v>17391.21</v>
      </c>
      <c r="F246" s="697">
        <v>40023</v>
      </c>
      <c r="G246" s="695">
        <v>15714.05</v>
      </c>
      <c r="H246" s="697">
        <v>40387</v>
      </c>
      <c r="I246" s="695">
        <v>10690.75</v>
      </c>
      <c r="J246" s="683">
        <v>40751</v>
      </c>
      <c r="K246" s="695">
        <v>13713.75</v>
      </c>
      <c r="L246" s="683">
        <v>41122</v>
      </c>
      <c r="M246" s="707">
        <v>11039.6</v>
      </c>
      <c r="N246" s="683">
        <v>41486</v>
      </c>
      <c r="O246" s="690">
        <v>13871.25</v>
      </c>
      <c r="P246" s="689">
        <v>41850</v>
      </c>
      <c r="Q246" s="686">
        <v>14821.96</v>
      </c>
      <c r="R246" s="689">
        <f t="shared" ref="R246:T250" si="521">R245+1</f>
        <v>42214</v>
      </c>
      <c r="S246" s="719">
        <v>16299.94</v>
      </c>
      <c r="T246" s="689">
        <f t="shared" si="521"/>
        <v>42585</v>
      </c>
      <c r="U246" s="719">
        <v>14996.4</v>
      </c>
      <c r="V246" s="689">
        <f t="shared" ref="V246:Z246" si="522">V245+1</f>
        <v>42949</v>
      </c>
      <c r="W246" s="768">
        <v>14694.77</v>
      </c>
      <c r="X246" s="689">
        <f t="shared" ref="X246" si="523">X245+1</f>
        <v>43313</v>
      </c>
      <c r="Y246" s="768">
        <v>15291.88</v>
      </c>
      <c r="Z246" s="689">
        <f t="shared" si="522"/>
        <v>43677</v>
      </c>
      <c r="AA246" s="768">
        <v>19985.75</v>
      </c>
      <c r="AB246" s="689">
        <f t="shared" ref="AB246" si="524">AB245+1</f>
        <v>44041</v>
      </c>
      <c r="AC246" s="774"/>
      <c r="AD246" s="864"/>
      <c r="AJ246" s="751"/>
      <c r="AK246" s="752"/>
      <c r="AL246" s="753"/>
      <c r="AM246" s="762">
        <f t="shared" si="520"/>
        <v>0</v>
      </c>
      <c r="AN246" s="763">
        <f t="shared" ref="AN246:AN250" si="525">AN245+1</f>
        <v>44405</v>
      </c>
    </row>
    <row r="247" spans="1:40" hidden="1">
      <c r="A247" s="7">
        <v>8</v>
      </c>
      <c r="B247">
        <v>1</v>
      </c>
      <c r="C247" t="s">
        <v>106</v>
      </c>
      <c r="D247" s="697">
        <v>39660</v>
      </c>
      <c r="E247" s="695">
        <v>16387.57</v>
      </c>
      <c r="F247" s="697">
        <v>40024</v>
      </c>
      <c r="G247" s="695">
        <v>16533.080000000002</v>
      </c>
      <c r="H247" s="697">
        <v>40388</v>
      </c>
      <c r="I247" s="695">
        <v>15224.39</v>
      </c>
      <c r="J247" s="683">
        <v>40752</v>
      </c>
      <c r="K247" s="695">
        <v>12124.22</v>
      </c>
      <c r="L247" s="683">
        <v>41123</v>
      </c>
      <c r="M247" s="707">
        <v>12653.15</v>
      </c>
      <c r="N247" s="683">
        <v>41487</v>
      </c>
      <c r="O247" s="690">
        <v>11542.7</v>
      </c>
      <c r="P247" s="689">
        <v>41851</v>
      </c>
      <c r="Q247" s="686">
        <v>15537.1</v>
      </c>
      <c r="R247" s="689">
        <f t="shared" si="521"/>
        <v>42215</v>
      </c>
      <c r="S247" s="719">
        <v>14856.45</v>
      </c>
      <c r="T247" s="689">
        <f t="shared" si="521"/>
        <v>42586</v>
      </c>
      <c r="U247" s="719">
        <v>16536.45</v>
      </c>
      <c r="V247" s="689">
        <f t="shared" ref="V247:Z247" si="526">V246+1</f>
        <v>42950</v>
      </c>
      <c r="W247" s="768">
        <v>17505.169999999998</v>
      </c>
      <c r="X247" s="689">
        <f t="shared" ref="X247" si="527">X246+1</f>
        <v>43314</v>
      </c>
      <c r="Y247" s="768">
        <v>11944.36</v>
      </c>
      <c r="Z247" s="689">
        <f t="shared" si="526"/>
        <v>43678</v>
      </c>
      <c r="AA247" s="768">
        <v>18634.07</v>
      </c>
      <c r="AB247" s="689">
        <f t="shared" ref="AB247" si="528">AB246+1</f>
        <v>44042</v>
      </c>
      <c r="AC247" s="774"/>
      <c r="AD247" s="864"/>
      <c r="AJ247" s="751"/>
      <c r="AK247" s="752"/>
      <c r="AL247" s="753"/>
      <c r="AM247" s="762">
        <f t="shared" si="520"/>
        <v>0</v>
      </c>
      <c r="AN247" s="763">
        <f t="shared" si="525"/>
        <v>44406</v>
      </c>
    </row>
    <row r="248" spans="1:40" hidden="1">
      <c r="A248" s="7">
        <v>8</v>
      </c>
      <c r="B248">
        <v>1</v>
      </c>
      <c r="C248" t="s">
        <v>107</v>
      </c>
      <c r="D248" s="697">
        <v>39661</v>
      </c>
      <c r="E248" s="695">
        <v>20998.69</v>
      </c>
      <c r="F248" s="697">
        <v>40025</v>
      </c>
      <c r="G248" s="695">
        <v>18450.41</v>
      </c>
      <c r="H248" s="697">
        <v>40389</v>
      </c>
      <c r="I248" s="695">
        <v>15338.37</v>
      </c>
      <c r="J248" s="683">
        <v>40753</v>
      </c>
      <c r="K248" s="695">
        <v>19260.77</v>
      </c>
      <c r="L248" s="683">
        <v>41124</v>
      </c>
      <c r="M248" s="707">
        <v>20165.45</v>
      </c>
      <c r="N248" s="683">
        <v>41488</v>
      </c>
      <c r="O248" s="690">
        <v>18064</v>
      </c>
      <c r="P248" s="689">
        <v>41852</v>
      </c>
      <c r="Q248" s="686">
        <v>21332.95</v>
      </c>
      <c r="R248" s="689">
        <f t="shared" si="521"/>
        <v>42216</v>
      </c>
      <c r="S248" s="719">
        <v>20413.580000000002</v>
      </c>
      <c r="T248" s="689">
        <f t="shared" si="521"/>
        <v>42587</v>
      </c>
      <c r="U248" s="719">
        <v>22409.5</v>
      </c>
      <c r="V248" s="689">
        <f t="shared" ref="V248:Z248" si="529">V247+1</f>
        <v>42951</v>
      </c>
      <c r="W248" s="768">
        <v>19811.310000000001</v>
      </c>
      <c r="X248" s="689">
        <f t="shared" ref="X248" si="530">X247+1</f>
        <v>43315</v>
      </c>
      <c r="Y248" s="768">
        <v>19193.259999999998</v>
      </c>
      <c r="Z248" s="689">
        <f t="shared" si="529"/>
        <v>43679</v>
      </c>
      <c r="AA248" s="768">
        <v>20096.86</v>
      </c>
      <c r="AB248" s="689">
        <f t="shared" ref="AB248" si="531">AB247+1</f>
        <v>44043</v>
      </c>
      <c r="AC248" s="774"/>
      <c r="AD248" s="864"/>
      <c r="AJ248" s="751"/>
      <c r="AK248" s="752"/>
      <c r="AL248" s="753"/>
      <c r="AM248" s="762">
        <f t="shared" si="520"/>
        <v>0</v>
      </c>
      <c r="AN248" s="763">
        <f t="shared" si="525"/>
        <v>44407</v>
      </c>
    </row>
    <row r="249" spans="1:40" hidden="1">
      <c r="A249" s="7">
        <v>8</v>
      </c>
      <c r="B249">
        <v>1</v>
      </c>
      <c r="C249" t="s">
        <v>108</v>
      </c>
      <c r="D249" s="697">
        <v>39662</v>
      </c>
      <c r="E249" s="695">
        <v>18229.169999999998</v>
      </c>
      <c r="F249" s="697">
        <v>40026</v>
      </c>
      <c r="G249" s="695">
        <v>16125.09</v>
      </c>
      <c r="H249" s="697">
        <v>40390</v>
      </c>
      <c r="I249" s="695">
        <v>14026.73</v>
      </c>
      <c r="J249" s="683">
        <v>40754</v>
      </c>
      <c r="K249" s="695">
        <v>14305.41</v>
      </c>
      <c r="L249" s="683">
        <v>41125</v>
      </c>
      <c r="M249" s="707">
        <v>18553.25</v>
      </c>
      <c r="N249" s="683">
        <v>41489</v>
      </c>
      <c r="O249" s="690">
        <v>19557.45</v>
      </c>
      <c r="P249" s="689">
        <v>41853</v>
      </c>
      <c r="Q249" s="686">
        <v>20843.57</v>
      </c>
      <c r="R249" s="689">
        <f t="shared" si="521"/>
        <v>42217</v>
      </c>
      <c r="S249" s="719">
        <v>20424.150000000001</v>
      </c>
      <c r="T249" s="689">
        <f t="shared" si="521"/>
        <v>42588</v>
      </c>
      <c r="U249" s="719">
        <v>18939.349999999999</v>
      </c>
      <c r="V249" s="689">
        <f t="shared" ref="V249:Z249" si="532">V248+1</f>
        <v>42952</v>
      </c>
      <c r="W249" s="768">
        <v>24298.5</v>
      </c>
      <c r="X249" s="689">
        <f t="shared" ref="X249" si="533">X248+1</f>
        <v>43316</v>
      </c>
      <c r="Y249" s="768">
        <v>17648.12</v>
      </c>
      <c r="Z249" s="689">
        <f t="shared" si="532"/>
        <v>43680</v>
      </c>
      <c r="AA249" s="768">
        <v>22043.599999999999</v>
      </c>
      <c r="AB249" s="689">
        <f t="shared" ref="AB249" si="534">AB248+1</f>
        <v>44044</v>
      </c>
      <c r="AC249" s="774"/>
      <c r="AD249" s="864"/>
      <c r="AJ249" s="751"/>
      <c r="AK249" s="752"/>
      <c r="AL249" s="753"/>
      <c r="AM249" s="762">
        <f t="shared" si="520"/>
        <v>0</v>
      </c>
      <c r="AN249" s="763">
        <f t="shared" si="525"/>
        <v>44408</v>
      </c>
    </row>
    <row r="250" spans="1:40" ht="15.75" hidden="1" thickBot="1">
      <c r="A250" s="12">
        <v>8</v>
      </c>
      <c r="B250" s="14">
        <v>1</v>
      </c>
      <c r="C250" s="14" t="s">
        <v>109</v>
      </c>
      <c r="D250" s="697">
        <v>39663</v>
      </c>
      <c r="E250" s="695">
        <v>6393.37</v>
      </c>
      <c r="F250" s="699">
        <v>40027</v>
      </c>
      <c r="G250" s="695">
        <v>6521.11</v>
      </c>
      <c r="H250" s="699">
        <v>40391</v>
      </c>
      <c r="I250" s="695">
        <v>4691.54</v>
      </c>
      <c r="J250" s="700">
        <v>40755</v>
      </c>
      <c r="K250" s="695">
        <v>5563.7</v>
      </c>
      <c r="L250" s="683">
        <v>41126</v>
      </c>
      <c r="M250" s="707">
        <v>11828.51</v>
      </c>
      <c r="N250" s="683">
        <v>41490</v>
      </c>
      <c r="O250" s="690">
        <v>12925.1</v>
      </c>
      <c r="P250" s="689">
        <v>41854</v>
      </c>
      <c r="Q250" s="686">
        <v>10937.15</v>
      </c>
      <c r="R250" s="761">
        <f t="shared" si="521"/>
        <v>42218</v>
      </c>
      <c r="S250" s="723">
        <v>14243.73</v>
      </c>
      <c r="T250" s="761">
        <f t="shared" si="521"/>
        <v>42589</v>
      </c>
      <c r="U250" s="723">
        <v>13661.85</v>
      </c>
      <c r="V250" s="761">
        <f t="shared" ref="V250:Z250" si="535">V249+1</f>
        <v>42953</v>
      </c>
      <c r="W250" s="769">
        <v>12211.85</v>
      </c>
      <c r="X250" s="761">
        <f t="shared" ref="X250" si="536">X249+1</f>
        <v>43317</v>
      </c>
      <c r="Y250" s="769">
        <v>12369.07</v>
      </c>
      <c r="Z250" s="761">
        <f t="shared" si="535"/>
        <v>43681</v>
      </c>
      <c r="AA250" s="769">
        <v>13416.21</v>
      </c>
      <c r="AB250" s="761">
        <f t="shared" ref="AB250" si="537">AB249+1</f>
        <v>44045</v>
      </c>
      <c r="AC250" s="775"/>
      <c r="AD250" s="865"/>
      <c r="AE250" s="203">
        <f>SUM(E244:E250)</f>
        <v>107451.95999999999</v>
      </c>
      <c r="AF250" s="203">
        <f>SUM(G244:G250)</f>
        <v>95679.66</v>
      </c>
      <c r="AG250" s="203">
        <f>SUM(I244:I250)</f>
        <v>78781.25</v>
      </c>
      <c r="AH250" s="203">
        <f>SUM(K244:K250)</f>
        <v>84465.08</v>
      </c>
      <c r="AI250" s="203">
        <f>SUM(M244:M250)</f>
        <v>98999.52</v>
      </c>
      <c r="AJ250" s="751"/>
      <c r="AK250" s="752"/>
      <c r="AL250" s="754"/>
      <c r="AM250" s="762">
        <f t="shared" si="520"/>
        <v>0</v>
      </c>
      <c r="AN250" s="763">
        <f t="shared" si="525"/>
        <v>44409</v>
      </c>
    </row>
    <row r="251" spans="1:40" s="428" customFormat="1" ht="15.75" hidden="1" thickBot="1">
      <c r="A251" s="486"/>
      <c r="C251" s="809" t="s">
        <v>282</v>
      </c>
      <c r="D251" s="810"/>
      <c r="E251" s="811"/>
      <c r="F251" s="810"/>
      <c r="G251" s="811"/>
      <c r="H251" s="810"/>
      <c r="I251" s="811"/>
      <c r="J251" s="812"/>
      <c r="K251" s="813"/>
      <c r="L251" s="812"/>
      <c r="M251" s="813"/>
      <c r="N251" s="812"/>
      <c r="O251" s="814">
        <f>SUM(O244:O250)</f>
        <v>100097.41</v>
      </c>
      <c r="P251" s="812"/>
      <c r="Q251" s="814">
        <f>SUM(Q244:Q250)</f>
        <v>106281.93</v>
      </c>
      <c r="R251" s="815"/>
      <c r="S251" s="816">
        <f>SUM(S244:S250)</f>
        <v>111946.76</v>
      </c>
      <c r="T251" s="815"/>
      <c r="U251" s="816">
        <f>SUM(U244:U250)</f>
        <v>112022.65</v>
      </c>
      <c r="V251" s="815"/>
      <c r="W251" s="816">
        <f>SUM(W244:W250)</f>
        <v>117317.94</v>
      </c>
      <c r="X251" s="815"/>
      <c r="Y251" s="816">
        <f>SUM(Y244:Y250)</f>
        <v>100969.10999999999</v>
      </c>
      <c r="Z251" s="815"/>
      <c r="AA251" s="816">
        <f>SUM(AA244:AA250)</f>
        <v>121970.82999999999</v>
      </c>
      <c r="AB251" s="815"/>
      <c r="AC251" s="816">
        <f>SUM(AC244:AC250)</f>
        <v>0</v>
      </c>
      <c r="AD251" s="758"/>
      <c r="AE251" s="822"/>
      <c r="AF251" s="822"/>
      <c r="AG251" s="822"/>
      <c r="AH251" s="822"/>
      <c r="AI251" s="822"/>
      <c r="AJ251" s="820">
        <f>SUM(AJ244:AJ250)</f>
        <v>0</v>
      </c>
      <c r="AK251" s="823">
        <f>SUM(AK244:AK250)</f>
        <v>0</v>
      </c>
      <c r="AL251" s="823">
        <f>SUM(AL244:AL250)</f>
        <v>0</v>
      </c>
      <c r="AM251" s="821">
        <f>SUM(AM244:AM250)</f>
        <v>0</v>
      </c>
    </row>
    <row r="252" spans="1:40" ht="15.75" hidden="1" thickBot="1">
      <c r="A252" s="5">
        <v>8</v>
      </c>
      <c r="B252" s="16">
        <v>2</v>
      </c>
      <c r="C252" s="16" t="s">
        <v>103</v>
      </c>
      <c r="D252" s="699">
        <v>39664</v>
      </c>
      <c r="E252" s="695">
        <v>11168.3</v>
      </c>
      <c r="F252" s="694">
        <v>40028</v>
      </c>
      <c r="G252" s="695">
        <v>8233.0300000000007</v>
      </c>
      <c r="H252" s="694">
        <v>40392</v>
      </c>
      <c r="I252" s="695">
        <v>6942.65</v>
      </c>
      <c r="J252" s="701">
        <v>40756</v>
      </c>
      <c r="K252" s="695">
        <v>7988.27</v>
      </c>
      <c r="L252" s="683">
        <v>41127</v>
      </c>
      <c r="M252" s="707">
        <v>7713</v>
      </c>
      <c r="N252" s="683">
        <v>41491</v>
      </c>
      <c r="O252" s="690">
        <v>9472.75</v>
      </c>
      <c r="P252" s="689">
        <v>41855</v>
      </c>
      <c r="Q252" s="686">
        <v>9543.4500000000007</v>
      </c>
      <c r="R252" s="635">
        <f>R250+1</f>
        <v>42219</v>
      </c>
      <c r="S252" s="717">
        <v>7002.5</v>
      </c>
      <c r="T252" s="635">
        <f>T250+1</f>
        <v>42590</v>
      </c>
      <c r="U252" s="717">
        <v>10009.65</v>
      </c>
      <c r="V252" s="635">
        <f>V250+1</f>
        <v>42954</v>
      </c>
      <c r="W252" s="767">
        <v>9814.1</v>
      </c>
      <c r="X252" s="635">
        <f>X250+1</f>
        <v>43318</v>
      </c>
      <c r="Y252" s="767">
        <v>11999.92</v>
      </c>
      <c r="Z252" s="635">
        <f>Z250+1</f>
        <v>43682</v>
      </c>
      <c r="AA252" s="767">
        <v>18072.37</v>
      </c>
      <c r="AB252" s="635">
        <f>AB250+1</f>
        <v>44046</v>
      </c>
      <c r="AC252" s="772"/>
      <c r="AD252" s="863" t="s">
        <v>141</v>
      </c>
      <c r="AJ252" s="751"/>
      <c r="AK252" s="752"/>
      <c r="AL252" s="752"/>
      <c r="AM252" s="762">
        <f t="shared" ref="AM252:AM258" si="538">SUM(AJ252:AL252)</f>
        <v>0</v>
      </c>
      <c r="AN252" s="763">
        <f>AN250+1</f>
        <v>44410</v>
      </c>
    </row>
    <row r="253" spans="1:40" hidden="1">
      <c r="A253" s="7">
        <v>8</v>
      </c>
      <c r="B253">
        <v>2</v>
      </c>
      <c r="C253" t="s">
        <v>104</v>
      </c>
      <c r="D253" s="694">
        <v>39665</v>
      </c>
      <c r="E253" s="695">
        <v>15151.16</v>
      </c>
      <c r="F253" s="697">
        <v>40029</v>
      </c>
      <c r="G253" s="695">
        <v>11677.97</v>
      </c>
      <c r="H253" s="697">
        <v>40393</v>
      </c>
      <c r="I253" s="695">
        <v>8398.2099999999991</v>
      </c>
      <c r="J253" s="683">
        <v>40757</v>
      </c>
      <c r="K253" s="695">
        <v>10600.46</v>
      </c>
      <c r="L253" s="683">
        <v>41128</v>
      </c>
      <c r="M253" s="707">
        <v>9460.9500000000007</v>
      </c>
      <c r="N253" s="683">
        <v>41492</v>
      </c>
      <c r="O253" s="690">
        <v>10351.65</v>
      </c>
      <c r="P253" s="689">
        <v>41856</v>
      </c>
      <c r="Q253" s="686">
        <v>16213.46</v>
      </c>
      <c r="R253" s="689">
        <f>R252+1</f>
        <v>42220</v>
      </c>
      <c r="S253" s="719">
        <v>11337.75</v>
      </c>
      <c r="T253" s="689">
        <f>T252+1</f>
        <v>42591</v>
      </c>
      <c r="U253" s="719">
        <v>13367.56</v>
      </c>
      <c r="V253" s="689">
        <f>V252+1</f>
        <v>42955</v>
      </c>
      <c r="W253" s="837">
        <v>13122.76</v>
      </c>
      <c r="X253" s="689">
        <f>X252+1</f>
        <v>43319</v>
      </c>
      <c r="Y253" s="837">
        <v>15889.19</v>
      </c>
      <c r="Z253" s="689">
        <f>Z252+1</f>
        <v>43683</v>
      </c>
      <c r="AA253" s="837">
        <v>13186.9</v>
      </c>
      <c r="AB253" s="689">
        <f>AB252+1</f>
        <v>44047</v>
      </c>
      <c r="AC253" s="818"/>
      <c r="AD253" s="864"/>
      <c r="AJ253" s="751"/>
      <c r="AK253" s="752"/>
      <c r="AL253" s="753"/>
      <c r="AM253" s="762">
        <f t="shared" si="538"/>
        <v>0</v>
      </c>
      <c r="AN253" s="763">
        <f>AN252+1</f>
        <v>44411</v>
      </c>
    </row>
    <row r="254" spans="1:40" hidden="1">
      <c r="A254" s="7">
        <v>8</v>
      </c>
      <c r="B254">
        <v>2</v>
      </c>
      <c r="C254" t="s">
        <v>105</v>
      </c>
      <c r="D254" s="697">
        <v>39666</v>
      </c>
      <c r="E254" s="695">
        <v>14717.94</v>
      </c>
      <c r="F254" s="697">
        <v>40030</v>
      </c>
      <c r="G254" s="695">
        <v>13297.32</v>
      </c>
      <c r="H254" s="697">
        <v>40394</v>
      </c>
      <c r="I254" s="695">
        <v>11534.83</v>
      </c>
      <c r="J254" s="683">
        <v>40758</v>
      </c>
      <c r="K254" s="695">
        <v>12654</v>
      </c>
      <c r="L254" s="683">
        <v>41129</v>
      </c>
      <c r="M254" s="707">
        <v>16139.55</v>
      </c>
      <c r="N254" s="683">
        <v>41493</v>
      </c>
      <c r="O254" s="690">
        <v>15453.5</v>
      </c>
      <c r="P254" s="689">
        <v>41857</v>
      </c>
      <c r="Q254" s="686">
        <v>13495.15</v>
      </c>
      <c r="R254" s="689">
        <f t="shared" ref="R254:T258" si="539">R253+1</f>
        <v>42221</v>
      </c>
      <c r="S254" s="719">
        <v>17633.3</v>
      </c>
      <c r="T254" s="689">
        <f t="shared" si="539"/>
        <v>42592</v>
      </c>
      <c r="U254" s="719">
        <v>16021.46</v>
      </c>
      <c r="V254" s="689">
        <f t="shared" ref="V254:Z254" si="540">V253+1</f>
        <v>42956</v>
      </c>
      <c r="W254" s="768">
        <v>16402.95</v>
      </c>
      <c r="X254" s="689">
        <f t="shared" ref="X254" si="541">X253+1</f>
        <v>43320</v>
      </c>
      <c r="Y254" s="768">
        <v>14264.36</v>
      </c>
      <c r="Z254" s="689">
        <f t="shared" si="540"/>
        <v>43684</v>
      </c>
      <c r="AA254" s="768">
        <v>11943.31</v>
      </c>
      <c r="AB254" s="689">
        <f t="shared" ref="AB254" si="542">AB253+1</f>
        <v>44048</v>
      </c>
      <c r="AC254" s="774"/>
      <c r="AD254" s="864"/>
      <c r="AJ254" s="751"/>
      <c r="AK254" s="752"/>
      <c r="AL254" s="753"/>
      <c r="AM254" s="762">
        <f t="shared" si="538"/>
        <v>0</v>
      </c>
      <c r="AN254" s="763">
        <f t="shared" ref="AN254:AN258" si="543">AN253+1</f>
        <v>44412</v>
      </c>
    </row>
    <row r="255" spans="1:40" hidden="1">
      <c r="A255" s="7">
        <v>8</v>
      </c>
      <c r="B255">
        <v>2</v>
      </c>
      <c r="C255" t="s">
        <v>106</v>
      </c>
      <c r="D255" s="697">
        <v>39667</v>
      </c>
      <c r="E255" s="695">
        <v>16603.52</v>
      </c>
      <c r="F255" s="697">
        <v>40031</v>
      </c>
      <c r="G255" s="695">
        <v>14821.11</v>
      </c>
      <c r="H255" s="697">
        <v>40395</v>
      </c>
      <c r="I255" s="695">
        <v>11859.26</v>
      </c>
      <c r="J255" s="683">
        <v>40759</v>
      </c>
      <c r="K255" s="695">
        <v>14661.66</v>
      </c>
      <c r="L255" s="683">
        <v>41130</v>
      </c>
      <c r="M255" s="707">
        <v>12754.4</v>
      </c>
      <c r="N255" s="683">
        <v>41494</v>
      </c>
      <c r="O255" s="690">
        <v>13123.55</v>
      </c>
      <c r="P255" s="689">
        <v>41858</v>
      </c>
      <c r="Q255" s="686">
        <v>12889.6</v>
      </c>
      <c r="R255" s="689">
        <f t="shared" si="539"/>
        <v>42222</v>
      </c>
      <c r="S255" s="719">
        <v>13918.2</v>
      </c>
      <c r="T255" s="689">
        <f t="shared" si="539"/>
        <v>42593</v>
      </c>
      <c r="U255" s="719">
        <v>19228.13</v>
      </c>
      <c r="V255" s="689">
        <f t="shared" ref="V255:Z255" si="544">V254+1</f>
        <v>42957</v>
      </c>
      <c r="W255" s="768">
        <v>13196.76</v>
      </c>
      <c r="X255" s="689">
        <f t="shared" ref="X255" si="545">X254+1</f>
        <v>43321</v>
      </c>
      <c r="Y255" s="768">
        <v>18088.13</v>
      </c>
      <c r="Z255" s="689">
        <f t="shared" si="544"/>
        <v>43685</v>
      </c>
      <c r="AA255" s="768">
        <v>19994.5</v>
      </c>
      <c r="AB255" s="689">
        <f t="shared" ref="AB255" si="546">AB254+1</f>
        <v>44049</v>
      </c>
      <c r="AC255" s="774"/>
      <c r="AD255" s="864"/>
      <c r="AJ255" s="751"/>
      <c r="AK255" s="752"/>
      <c r="AL255" s="753"/>
      <c r="AM255" s="762">
        <f t="shared" si="538"/>
        <v>0</v>
      </c>
      <c r="AN255" s="763">
        <f t="shared" si="543"/>
        <v>44413</v>
      </c>
    </row>
    <row r="256" spans="1:40" hidden="1">
      <c r="A256" s="7">
        <v>8</v>
      </c>
      <c r="B256">
        <v>2</v>
      </c>
      <c r="C256" t="s">
        <v>107</v>
      </c>
      <c r="D256" s="697">
        <v>39668</v>
      </c>
      <c r="E256" s="695">
        <v>17978.61</v>
      </c>
      <c r="F256" s="697">
        <v>40032</v>
      </c>
      <c r="G256" s="695">
        <v>18232.419999999998</v>
      </c>
      <c r="H256" s="697">
        <v>40396</v>
      </c>
      <c r="I256" s="695">
        <v>13668.64</v>
      </c>
      <c r="J256" s="683">
        <v>40760</v>
      </c>
      <c r="K256" s="695">
        <v>14307.37</v>
      </c>
      <c r="L256" s="683">
        <v>41131</v>
      </c>
      <c r="M256" s="707">
        <v>12275.15</v>
      </c>
      <c r="N256" s="683">
        <v>41495</v>
      </c>
      <c r="O256" s="690">
        <v>18176.59</v>
      </c>
      <c r="P256" s="689">
        <v>41859</v>
      </c>
      <c r="Q256" s="686">
        <v>19730.060000000001</v>
      </c>
      <c r="R256" s="689">
        <f t="shared" si="539"/>
        <v>42223</v>
      </c>
      <c r="S256" s="719">
        <v>21717.95</v>
      </c>
      <c r="T256" s="689">
        <f t="shared" si="539"/>
        <v>42594</v>
      </c>
      <c r="U256" s="719">
        <v>21153.16</v>
      </c>
      <c r="V256" s="689">
        <f t="shared" ref="V256:Z256" si="547">V255+1</f>
        <v>42958</v>
      </c>
      <c r="W256" s="768">
        <v>19664.96</v>
      </c>
      <c r="X256" s="689">
        <f t="shared" ref="X256" si="548">X255+1</f>
        <v>43322</v>
      </c>
      <c r="Y256" s="768">
        <v>20094.830000000002</v>
      </c>
      <c r="Z256" s="689">
        <f t="shared" si="547"/>
        <v>43686</v>
      </c>
      <c r="AA256" s="768">
        <v>18759.939999999999</v>
      </c>
      <c r="AB256" s="689">
        <f t="shared" ref="AB256" si="549">AB255+1</f>
        <v>44050</v>
      </c>
      <c r="AC256" s="774"/>
      <c r="AD256" s="864"/>
      <c r="AJ256" s="751"/>
      <c r="AK256" s="752"/>
      <c r="AL256" s="753"/>
      <c r="AM256" s="762">
        <f t="shared" si="538"/>
        <v>0</v>
      </c>
      <c r="AN256" s="763">
        <f t="shared" si="543"/>
        <v>44414</v>
      </c>
    </row>
    <row r="257" spans="1:40" hidden="1">
      <c r="A257" s="7">
        <v>8</v>
      </c>
      <c r="B257">
        <v>2</v>
      </c>
      <c r="C257" t="s">
        <v>108</v>
      </c>
      <c r="D257" s="697">
        <v>39669</v>
      </c>
      <c r="E257" s="695">
        <v>19657.18</v>
      </c>
      <c r="F257" s="697">
        <v>40033</v>
      </c>
      <c r="G257" s="695">
        <v>16305.33</v>
      </c>
      <c r="H257" s="697">
        <v>40397</v>
      </c>
      <c r="I257" s="695">
        <v>14159.15</v>
      </c>
      <c r="J257" s="683">
        <v>40761</v>
      </c>
      <c r="K257" s="695">
        <v>15943.95</v>
      </c>
      <c r="L257" s="683">
        <v>41132</v>
      </c>
      <c r="M257" s="707">
        <v>20781.25</v>
      </c>
      <c r="N257" s="683">
        <v>41496</v>
      </c>
      <c r="O257" s="690">
        <v>17921.099999999999</v>
      </c>
      <c r="P257" s="689">
        <v>41860</v>
      </c>
      <c r="Q257" s="686">
        <v>15872.86</v>
      </c>
      <c r="R257" s="689">
        <f t="shared" si="539"/>
        <v>42224</v>
      </c>
      <c r="S257" s="719">
        <v>20419.509999999998</v>
      </c>
      <c r="T257" s="689">
        <f t="shared" si="539"/>
        <v>42595</v>
      </c>
      <c r="U257" s="719">
        <v>21102.2</v>
      </c>
      <c r="V257" s="689">
        <f t="shared" ref="V257:Z257" si="550">V256+1</f>
        <v>42959</v>
      </c>
      <c r="W257" s="768">
        <v>20803.060000000001</v>
      </c>
      <c r="X257" s="689">
        <f t="shared" ref="X257" si="551">X256+1</f>
        <v>43323</v>
      </c>
      <c r="Y257" s="768">
        <v>20045.07</v>
      </c>
      <c r="Z257" s="689">
        <f t="shared" si="550"/>
        <v>43687</v>
      </c>
      <c r="AA257" s="768">
        <v>17921.87</v>
      </c>
      <c r="AB257" s="689">
        <f t="shared" ref="AB257" si="552">AB256+1</f>
        <v>44051</v>
      </c>
      <c r="AC257" s="774"/>
      <c r="AD257" s="864"/>
      <c r="AJ257" s="751"/>
      <c r="AK257" s="752"/>
      <c r="AL257" s="753"/>
      <c r="AM257" s="762">
        <f t="shared" si="538"/>
        <v>0</v>
      </c>
      <c r="AN257" s="763">
        <f t="shared" si="543"/>
        <v>44415</v>
      </c>
    </row>
    <row r="258" spans="1:40" ht="15.75" hidden="1" thickBot="1">
      <c r="A258" s="12">
        <v>8</v>
      </c>
      <c r="B258" s="14">
        <v>2</v>
      </c>
      <c r="C258" s="14" t="s">
        <v>109</v>
      </c>
      <c r="D258" s="697">
        <v>39670</v>
      </c>
      <c r="E258" s="695">
        <v>5663.16</v>
      </c>
      <c r="F258" s="699">
        <v>40034</v>
      </c>
      <c r="G258" s="695">
        <v>9094.2099999999991</v>
      </c>
      <c r="H258" s="699">
        <v>40398</v>
      </c>
      <c r="I258" s="695">
        <v>4391.3500000000004</v>
      </c>
      <c r="J258" s="700">
        <v>40762</v>
      </c>
      <c r="K258" s="695">
        <v>6451.95</v>
      </c>
      <c r="L258" s="683">
        <v>41133</v>
      </c>
      <c r="M258" s="707">
        <v>8344.4</v>
      </c>
      <c r="N258" s="683">
        <v>41497</v>
      </c>
      <c r="O258" s="690">
        <v>8970.16</v>
      </c>
      <c r="P258" s="689">
        <v>41861</v>
      </c>
      <c r="Q258" s="686">
        <v>9699.26</v>
      </c>
      <c r="R258" s="761">
        <f t="shared" si="539"/>
        <v>42225</v>
      </c>
      <c r="S258" s="723">
        <v>11735.36</v>
      </c>
      <c r="T258" s="761">
        <f t="shared" si="539"/>
        <v>42596</v>
      </c>
      <c r="U258" s="723">
        <v>13590.8</v>
      </c>
      <c r="V258" s="761">
        <f t="shared" ref="V258:Z258" si="553">V257+1</f>
        <v>42960</v>
      </c>
      <c r="W258" s="769">
        <v>10183.85</v>
      </c>
      <c r="X258" s="761">
        <f t="shared" ref="X258" si="554">X257+1</f>
        <v>43324</v>
      </c>
      <c r="Y258" s="769">
        <v>13105.46</v>
      </c>
      <c r="Z258" s="761">
        <f t="shared" si="553"/>
        <v>43688</v>
      </c>
      <c r="AA258" s="769">
        <v>15825.72</v>
      </c>
      <c r="AB258" s="761">
        <f t="shared" ref="AB258" si="555">AB257+1</f>
        <v>44052</v>
      </c>
      <c r="AC258" s="775"/>
      <c r="AD258" s="865"/>
      <c r="AE258" s="203">
        <f>SUM(E252:E258)</f>
        <v>100939.87</v>
      </c>
      <c r="AF258" s="203">
        <f>SUM(G252:G258)</f>
        <v>91661.390000000014</v>
      </c>
      <c r="AG258" s="203">
        <f>SUM(I252:I258)</f>
        <v>70954.09</v>
      </c>
      <c r="AH258" s="203">
        <f>SUM(K252:K258)</f>
        <v>82607.66</v>
      </c>
      <c r="AI258" s="203">
        <f>SUM(M252:M258)</f>
        <v>87468.7</v>
      </c>
      <c r="AJ258" s="751"/>
      <c r="AK258" s="752"/>
      <c r="AL258" s="754"/>
      <c r="AM258" s="762">
        <f t="shared" si="538"/>
        <v>0</v>
      </c>
      <c r="AN258" s="763">
        <f t="shared" si="543"/>
        <v>44416</v>
      </c>
    </row>
    <row r="259" spans="1:40" s="428" customFormat="1" ht="15.75" hidden="1" thickBot="1">
      <c r="A259" s="486"/>
      <c r="C259" s="809" t="s">
        <v>282</v>
      </c>
      <c r="D259" s="810"/>
      <c r="E259" s="811"/>
      <c r="F259" s="810"/>
      <c r="G259" s="811"/>
      <c r="H259" s="810"/>
      <c r="I259" s="811"/>
      <c r="J259" s="812"/>
      <c r="K259" s="813"/>
      <c r="L259" s="812"/>
      <c r="M259" s="813"/>
      <c r="N259" s="812"/>
      <c r="O259" s="814">
        <f>SUM(O252:O258)</f>
        <v>93469.299999999988</v>
      </c>
      <c r="P259" s="812"/>
      <c r="Q259" s="814">
        <f>SUM(Q252:Q258)</f>
        <v>97443.839999999997</v>
      </c>
      <c r="R259" s="815"/>
      <c r="S259" s="816">
        <f>SUM(S252:S258)</f>
        <v>103764.56999999999</v>
      </c>
      <c r="T259" s="815"/>
      <c r="U259" s="816">
        <f>SUM(U252:U258)</f>
        <v>114472.96000000001</v>
      </c>
      <c r="V259" s="815"/>
      <c r="W259" s="816">
        <f>SUM(W252:W258)</f>
        <v>103188.44</v>
      </c>
      <c r="X259" s="815"/>
      <c r="Y259" s="816">
        <f>SUM(Y252:Y258)</f>
        <v>113486.95999999999</v>
      </c>
      <c r="Z259" s="815"/>
      <c r="AA259" s="816">
        <f>SUM(AA252:AA258)</f>
        <v>115704.60999999999</v>
      </c>
      <c r="AB259" s="815"/>
      <c r="AC259" s="816">
        <f>SUM(AC252:AC258)</f>
        <v>0</v>
      </c>
      <c r="AD259" s="758"/>
      <c r="AE259" s="822"/>
      <c r="AF259" s="822"/>
      <c r="AG259" s="822"/>
      <c r="AH259" s="822"/>
      <c r="AI259" s="822"/>
      <c r="AJ259" s="820">
        <f>SUM(AJ252:AJ258)</f>
        <v>0</v>
      </c>
      <c r="AK259" s="823">
        <f>SUM(AK252:AK258)</f>
        <v>0</v>
      </c>
      <c r="AL259" s="823">
        <f>SUM(AL252:AL258)</f>
        <v>0</v>
      </c>
      <c r="AM259" s="821">
        <f>SUM(AM252:AM258)</f>
        <v>0</v>
      </c>
    </row>
    <row r="260" spans="1:40" ht="15.75" hidden="1" thickBot="1">
      <c r="A260" s="5">
        <v>8</v>
      </c>
      <c r="B260" s="16">
        <v>3</v>
      </c>
      <c r="C260" s="16" t="s">
        <v>103</v>
      </c>
      <c r="D260" s="699">
        <v>39671</v>
      </c>
      <c r="E260" s="695">
        <v>9214.59</v>
      </c>
      <c r="F260" s="694">
        <v>40035</v>
      </c>
      <c r="G260" s="695">
        <v>8106.62</v>
      </c>
      <c r="H260" s="694">
        <v>40399</v>
      </c>
      <c r="I260" s="695">
        <v>8703.2800000000007</v>
      </c>
      <c r="J260" s="701">
        <v>40763</v>
      </c>
      <c r="K260" s="695">
        <v>10005.82</v>
      </c>
      <c r="L260" s="683">
        <v>41134</v>
      </c>
      <c r="M260" s="707">
        <v>8043.4</v>
      </c>
      <c r="N260" s="683">
        <v>41498</v>
      </c>
      <c r="O260" s="690">
        <v>7405.6</v>
      </c>
      <c r="P260" s="689">
        <v>41862</v>
      </c>
      <c r="Q260" s="686">
        <v>9022.2099999999991</v>
      </c>
      <c r="R260" s="635">
        <f>R258+1</f>
        <v>42226</v>
      </c>
      <c r="S260" s="717">
        <v>8222.9</v>
      </c>
      <c r="T260" s="635">
        <f>T258+1</f>
        <v>42597</v>
      </c>
      <c r="U260" s="717">
        <v>12466.8</v>
      </c>
      <c r="V260" s="635">
        <f>V258+1</f>
        <v>42961</v>
      </c>
      <c r="W260" s="767">
        <v>11594.5</v>
      </c>
      <c r="X260" s="635">
        <f>X258+1</f>
        <v>43325</v>
      </c>
      <c r="Y260" s="767">
        <v>11138.58</v>
      </c>
      <c r="Z260" s="635">
        <f>Z258+1</f>
        <v>43689</v>
      </c>
      <c r="AA260" s="767">
        <v>8152.41</v>
      </c>
      <c r="AB260" s="635">
        <f>AB258+1</f>
        <v>44053</v>
      </c>
      <c r="AC260" s="772"/>
      <c r="AD260" s="863" t="s">
        <v>142</v>
      </c>
      <c r="AJ260" s="751"/>
      <c r="AK260" s="752"/>
      <c r="AL260" s="752"/>
      <c r="AM260" s="762">
        <f t="shared" ref="AM260:AM266" si="556">SUM(AJ260:AL260)</f>
        <v>0</v>
      </c>
      <c r="AN260" s="763">
        <f>AN258+1</f>
        <v>44417</v>
      </c>
    </row>
    <row r="261" spans="1:40" hidden="1">
      <c r="A261" s="7">
        <v>8</v>
      </c>
      <c r="B261">
        <v>3</v>
      </c>
      <c r="C261" t="s">
        <v>104</v>
      </c>
      <c r="D261" s="694">
        <v>39672</v>
      </c>
      <c r="E261" s="695">
        <v>15691.9</v>
      </c>
      <c r="F261" s="697">
        <v>40036</v>
      </c>
      <c r="G261" s="695">
        <v>14020.19</v>
      </c>
      <c r="H261" s="697">
        <v>40400</v>
      </c>
      <c r="I261" s="695">
        <v>10200.25</v>
      </c>
      <c r="J261" s="683">
        <v>40764</v>
      </c>
      <c r="K261" s="695">
        <v>10553.12</v>
      </c>
      <c r="L261" s="683">
        <v>41135</v>
      </c>
      <c r="M261" s="707">
        <v>10198.450000000001</v>
      </c>
      <c r="N261" s="683">
        <v>41499</v>
      </c>
      <c r="O261" s="690">
        <v>15951.75</v>
      </c>
      <c r="P261" s="689">
        <v>41863</v>
      </c>
      <c r="Q261" s="686">
        <v>15010.55</v>
      </c>
      <c r="R261" s="689">
        <f>R260+1</f>
        <v>42227</v>
      </c>
      <c r="S261" s="719">
        <v>11309.1</v>
      </c>
      <c r="T261" s="689">
        <f>T260+1</f>
        <v>42598</v>
      </c>
      <c r="U261" s="719">
        <v>11549.6</v>
      </c>
      <c r="V261" s="689">
        <f>V260+1</f>
        <v>42962</v>
      </c>
      <c r="W261" s="837">
        <v>12354.27</v>
      </c>
      <c r="X261" s="689">
        <f>X260+1</f>
        <v>43326</v>
      </c>
      <c r="Y261" s="837">
        <v>14866.14</v>
      </c>
      <c r="Z261" s="689">
        <f>Z260+1</f>
        <v>43690</v>
      </c>
      <c r="AA261" s="837">
        <v>13764.11</v>
      </c>
      <c r="AB261" s="689">
        <f>AB260+1</f>
        <v>44054</v>
      </c>
      <c r="AC261" s="818"/>
      <c r="AD261" s="864"/>
      <c r="AJ261" s="751"/>
      <c r="AK261" s="752"/>
      <c r="AL261" s="753"/>
      <c r="AM261" s="762">
        <f t="shared" si="556"/>
        <v>0</v>
      </c>
      <c r="AN261" s="763">
        <f>AN260+1</f>
        <v>44418</v>
      </c>
    </row>
    <row r="262" spans="1:40" hidden="1">
      <c r="A262" s="7">
        <v>8</v>
      </c>
      <c r="B262">
        <v>3</v>
      </c>
      <c r="C262" t="s">
        <v>105</v>
      </c>
      <c r="D262" s="697">
        <v>39673</v>
      </c>
      <c r="E262" s="695">
        <v>15098.87</v>
      </c>
      <c r="F262" s="697">
        <v>40037</v>
      </c>
      <c r="G262" s="695">
        <v>12730.62</v>
      </c>
      <c r="H262" s="697">
        <v>40401</v>
      </c>
      <c r="I262" s="695">
        <v>13984.75</v>
      </c>
      <c r="J262" s="683">
        <v>40765</v>
      </c>
      <c r="K262" s="695">
        <v>12397</v>
      </c>
      <c r="L262" s="683">
        <v>41136</v>
      </c>
      <c r="M262" s="707">
        <v>12410.35</v>
      </c>
      <c r="N262" s="683">
        <v>41500</v>
      </c>
      <c r="O262" s="690">
        <v>14558.96</v>
      </c>
      <c r="P262" s="689">
        <v>41864</v>
      </c>
      <c r="Q262" s="686">
        <v>13745.2</v>
      </c>
      <c r="R262" s="689">
        <f t="shared" ref="R262:T266" si="557">R261+1</f>
        <v>42228</v>
      </c>
      <c r="S262" s="719">
        <v>13303.48</v>
      </c>
      <c r="T262" s="689">
        <f t="shared" si="557"/>
        <v>42599</v>
      </c>
      <c r="U262" s="719">
        <v>16057.6</v>
      </c>
      <c r="V262" s="689">
        <f t="shared" ref="V262:Z262" si="558">V261+1</f>
        <v>42963</v>
      </c>
      <c r="W262" s="768">
        <v>14789.16</v>
      </c>
      <c r="X262" s="689">
        <f t="shared" ref="X262" si="559">X261+1</f>
        <v>43327</v>
      </c>
      <c r="Y262" s="768">
        <v>12209.99</v>
      </c>
      <c r="Z262" s="689">
        <f t="shared" si="558"/>
        <v>43691</v>
      </c>
      <c r="AA262" s="768">
        <v>13235.56</v>
      </c>
      <c r="AB262" s="689">
        <f t="shared" ref="AB262" si="560">AB261+1</f>
        <v>44055</v>
      </c>
      <c r="AC262" s="774"/>
      <c r="AD262" s="864"/>
      <c r="AJ262" s="751"/>
      <c r="AK262" s="752"/>
      <c r="AL262" s="753"/>
      <c r="AM262" s="762">
        <f t="shared" si="556"/>
        <v>0</v>
      </c>
      <c r="AN262" s="763">
        <f t="shared" ref="AN262:AN266" si="561">AN261+1</f>
        <v>44419</v>
      </c>
    </row>
    <row r="263" spans="1:40" hidden="1">
      <c r="A263" s="7">
        <v>8</v>
      </c>
      <c r="B263">
        <v>3</v>
      </c>
      <c r="C263" t="s">
        <v>106</v>
      </c>
      <c r="D263" s="697">
        <v>39674</v>
      </c>
      <c r="E263" s="695">
        <v>18803.25</v>
      </c>
      <c r="F263" s="697">
        <v>40038</v>
      </c>
      <c r="G263" s="695">
        <v>15206.45</v>
      </c>
      <c r="H263" s="697">
        <v>40402</v>
      </c>
      <c r="I263" s="695">
        <v>13220.68</v>
      </c>
      <c r="J263" s="683">
        <v>40766</v>
      </c>
      <c r="K263" s="695">
        <v>14333.76</v>
      </c>
      <c r="L263" s="683">
        <v>41137</v>
      </c>
      <c r="M263" s="707">
        <v>12972.1</v>
      </c>
      <c r="N263" s="683">
        <v>41501</v>
      </c>
      <c r="O263" s="690">
        <v>14678.96</v>
      </c>
      <c r="P263" s="689">
        <v>41865</v>
      </c>
      <c r="Q263" s="686">
        <v>13144.91</v>
      </c>
      <c r="R263" s="689">
        <f t="shared" si="557"/>
        <v>42229</v>
      </c>
      <c r="S263" s="719">
        <v>11250.45</v>
      </c>
      <c r="T263" s="689">
        <f t="shared" si="557"/>
        <v>42600</v>
      </c>
      <c r="U263" s="719">
        <v>13483.6</v>
      </c>
      <c r="V263" s="689">
        <f t="shared" ref="V263:Z263" si="562">V262+1</f>
        <v>42964</v>
      </c>
      <c r="W263" s="768">
        <v>16363.45</v>
      </c>
      <c r="X263" s="689">
        <f t="shared" ref="X263" si="563">X262+1</f>
        <v>43328</v>
      </c>
      <c r="Y263" s="768">
        <v>14231.34</v>
      </c>
      <c r="Z263" s="689">
        <f t="shared" si="562"/>
        <v>43692</v>
      </c>
      <c r="AA263" s="768">
        <v>16545.5</v>
      </c>
      <c r="AB263" s="689">
        <f t="shared" ref="AB263" si="564">AB262+1</f>
        <v>44056</v>
      </c>
      <c r="AC263" s="774"/>
      <c r="AD263" s="864"/>
      <c r="AJ263" s="751"/>
      <c r="AK263" s="752"/>
      <c r="AL263" s="753"/>
      <c r="AM263" s="762">
        <f t="shared" si="556"/>
        <v>0</v>
      </c>
      <c r="AN263" s="763">
        <f t="shared" si="561"/>
        <v>44420</v>
      </c>
    </row>
    <row r="264" spans="1:40" hidden="1">
      <c r="A264" s="7">
        <v>8</v>
      </c>
      <c r="B264">
        <v>3</v>
      </c>
      <c r="C264" t="s">
        <v>107</v>
      </c>
      <c r="D264" s="697">
        <v>39675</v>
      </c>
      <c r="E264" s="695">
        <v>18812.740000000002</v>
      </c>
      <c r="F264" s="697">
        <v>40039</v>
      </c>
      <c r="G264" s="695">
        <v>16956.5</v>
      </c>
      <c r="H264" s="697">
        <v>40403</v>
      </c>
      <c r="I264" s="695">
        <v>13413.39</v>
      </c>
      <c r="J264" s="683">
        <v>40767</v>
      </c>
      <c r="K264" s="695">
        <v>18207.3</v>
      </c>
      <c r="L264" s="683">
        <v>41138</v>
      </c>
      <c r="M264" s="707">
        <v>16672.75</v>
      </c>
      <c r="N264" s="683">
        <v>41502</v>
      </c>
      <c r="O264" s="690">
        <v>16640.3</v>
      </c>
      <c r="P264" s="689">
        <v>41866</v>
      </c>
      <c r="Q264" s="686">
        <v>19844.650000000001</v>
      </c>
      <c r="R264" s="689">
        <f t="shared" si="557"/>
        <v>42230</v>
      </c>
      <c r="S264" s="719">
        <v>18580.259999999998</v>
      </c>
      <c r="T264" s="689">
        <f t="shared" si="557"/>
        <v>42601</v>
      </c>
      <c r="U264" s="719">
        <v>18066.95</v>
      </c>
      <c r="V264" s="689">
        <f t="shared" ref="V264:Z264" si="565">V263+1</f>
        <v>42965</v>
      </c>
      <c r="W264" s="768">
        <v>19044.12</v>
      </c>
      <c r="X264" s="689">
        <f t="shared" ref="X264" si="566">X263+1</f>
        <v>43329</v>
      </c>
      <c r="Y264" s="768">
        <v>19937.740000000002</v>
      </c>
      <c r="Z264" s="689">
        <f t="shared" si="565"/>
        <v>43693</v>
      </c>
      <c r="AA264" s="768">
        <v>25410.12</v>
      </c>
      <c r="AB264" s="689">
        <f t="shared" ref="AB264" si="567">AB263+1</f>
        <v>44057</v>
      </c>
      <c r="AC264" s="774"/>
      <c r="AD264" s="864"/>
      <c r="AJ264" s="751"/>
      <c r="AK264" s="752"/>
      <c r="AL264" s="753"/>
      <c r="AM264" s="762">
        <f t="shared" si="556"/>
        <v>0</v>
      </c>
      <c r="AN264" s="763">
        <f t="shared" si="561"/>
        <v>44421</v>
      </c>
    </row>
    <row r="265" spans="1:40" hidden="1">
      <c r="A265" s="7">
        <v>8</v>
      </c>
      <c r="B265">
        <v>3</v>
      </c>
      <c r="C265" t="s">
        <v>108</v>
      </c>
      <c r="D265" s="697">
        <v>39676</v>
      </c>
      <c r="E265" s="695">
        <v>18309.04</v>
      </c>
      <c r="F265" s="697">
        <v>40040</v>
      </c>
      <c r="G265" s="695">
        <v>16279.84</v>
      </c>
      <c r="H265" s="697">
        <v>40404</v>
      </c>
      <c r="I265" s="695">
        <v>14342.41</v>
      </c>
      <c r="J265" s="683">
        <v>40768</v>
      </c>
      <c r="K265" s="695">
        <v>13946.4</v>
      </c>
      <c r="L265" s="683">
        <v>41139</v>
      </c>
      <c r="M265" s="707">
        <v>18687</v>
      </c>
      <c r="N265" s="683">
        <v>41503</v>
      </c>
      <c r="O265" s="690">
        <v>14004.56</v>
      </c>
      <c r="P265" s="689">
        <v>41867</v>
      </c>
      <c r="Q265" s="686">
        <v>18895.75</v>
      </c>
      <c r="R265" s="689">
        <f t="shared" si="557"/>
        <v>42231</v>
      </c>
      <c r="S265" s="719">
        <v>19329.650000000001</v>
      </c>
      <c r="T265" s="689">
        <f t="shared" si="557"/>
        <v>42602</v>
      </c>
      <c r="U265" s="719">
        <v>19637.55</v>
      </c>
      <c r="V265" s="689">
        <f t="shared" ref="V265:Z265" si="568">V264+1</f>
        <v>42966</v>
      </c>
      <c r="W265" s="768">
        <v>21349.26</v>
      </c>
      <c r="X265" s="689">
        <f t="shared" ref="X265" si="569">X264+1</f>
        <v>43330</v>
      </c>
      <c r="Y265" s="768">
        <v>20456.36</v>
      </c>
      <c r="Z265" s="689">
        <f t="shared" si="568"/>
        <v>43694</v>
      </c>
      <c r="AA265" s="768">
        <v>18067.16</v>
      </c>
      <c r="AB265" s="689">
        <f t="shared" ref="AB265" si="570">AB264+1</f>
        <v>44058</v>
      </c>
      <c r="AC265" s="774"/>
      <c r="AD265" s="864"/>
      <c r="AJ265" s="751"/>
      <c r="AK265" s="752"/>
      <c r="AL265" s="753"/>
      <c r="AM265" s="762">
        <f t="shared" si="556"/>
        <v>0</v>
      </c>
      <c r="AN265" s="763">
        <f t="shared" si="561"/>
        <v>44422</v>
      </c>
    </row>
    <row r="266" spans="1:40" ht="15.75" hidden="1" thickBot="1">
      <c r="A266" s="12">
        <v>8</v>
      </c>
      <c r="B266" s="14">
        <v>3</v>
      </c>
      <c r="C266" s="14" t="s">
        <v>109</v>
      </c>
      <c r="D266" s="697">
        <v>39677</v>
      </c>
      <c r="E266" s="695">
        <v>8404.23</v>
      </c>
      <c r="F266" s="699">
        <v>40041</v>
      </c>
      <c r="G266" s="695">
        <v>5904.05</v>
      </c>
      <c r="H266" s="699">
        <v>40405</v>
      </c>
      <c r="I266" s="695">
        <v>4909.71</v>
      </c>
      <c r="J266" s="700">
        <v>40769</v>
      </c>
      <c r="K266" s="695">
        <v>5111.3999999999996</v>
      </c>
      <c r="L266" s="683">
        <v>41140</v>
      </c>
      <c r="M266" s="707">
        <v>9932.2999999999993</v>
      </c>
      <c r="N266" s="683">
        <v>41504</v>
      </c>
      <c r="O266" s="690">
        <v>6666.45</v>
      </c>
      <c r="P266" s="689">
        <v>41868</v>
      </c>
      <c r="Q266" s="686">
        <v>6999.2</v>
      </c>
      <c r="R266" s="761">
        <f t="shared" si="557"/>
        <v>42232</v>
      </c>
      <c r="S266" s="723">
        <v>13831.35</v>
      </c>
      <c r="T266" s="761">
        <f t="shared" si="557"/>
        <v>42603</v>
      </c>
      <c r="U266" s="723">
        <v>12886.55</v>
      </c>
      <c r="V266" s="761">
        <f t="shared" ref="V266:Z266" si="571">V265+1</f>
        <v>42967</v>
      </c>
      <c r="W266" s="769">
        <v>13037.15</v>
      </c>
      <c r="X266" s="761">
        <f t="shared" ref="X266" si="572">X265+1</f>
        <v>43331</v>
      </c>
      <c r="Y266" s="769">
        <v>11454.83</v>
      </c>
      <c r="Z266" s="761">
        <f t="shared" si="571"/>
        <v>43695</v>
      </c>
      <c r="AA266" s="769">
        <v>15718.47</v>
      </c>
      <c r="AB266" s="761">
        <f t="shared" ref="AB266" si="573">AB265+1</f>
        <v>44059</v>
      </c>
      <c r="AC266" s="775"/>
      <c r="AD266" s="865"/>
      <c r="AE266" s="203">
        <f>SUM(E260:E266)</f>
        <v>104334.62000000001</v>
      </c>
      <c r="AF266" s="203">
        <f>SUM(G260:G266)</f>
        <v>89204.27</v>
      </c>
      <c r="AG266" s="203">
        <f>SUM(I260:I266)</f>
        <v>78774.47</v>
      </c>
      <c r="AH266" s="203">
        <f>SUM(K260:K266)</f>
        <v>84554.799999999988</v>
      </c>
      <c r="AI266" s="203">
        <f>SUM(M260:M266)</f>
        <v>88916.349999999991</v>
      </c>
      <c r="AJ266" s="751"/>
      <c r="AK266" s="752"/>
      <c r="AL266" s="754"/>
      <c r="AM266" s="762">
        <f t="shared" si="556"/>
        <v>0</v>
      </c>
      <c r="AN266" s="763">
        <f t="shared" si="561"/>
        <v>44423</v>
      </c>
    </row>
    <row r="267" spans="1:40" s="428" customFormat="1" ht="15.75" hidden="1" thickBot="1">
      <c r="A267" s="486"/>
      <c r="C267" s="809" t="s">
        <v>282</v>
      </c>
      <c r="D267" s="810"/>
      <c r="E267" s="811"/>
      <c r="F267" s="810"/>
      <c r="G267" s="811"/>
      <c r="H267" s="810"/>
      <c r="I267" s="811"/>
      <c r="J267" s="812"/>
      <c r="K267" s="813"/>
      <c r="L267" s="812"/>
      <c r="M267" s="813"/>
      <c r="N267" s="812"/>
      <c r="O267" s="814">
        <f>SUM(O260:O266)</f>
        <v>89906.579999999987</v>
      </c>
      <c r="P267" s="812"/>
      <c r="Q267" s="814">
        <f>SUM(Q260:Q266)</f>
        <v>96662.469999999987</v>
      </c>
      <c r="R267" s="815"/>
      <c r="S267" s="816">
        <f>SUM(S260:S266)</f>
        <v>95827.19</v>
      </c>
      <c r="T267" s="815"/>
      <c r="U267" s="816">
        <f>SUM(U260:U266)</f>
        <v>104148.65000000001</v>
      </c>
      <c r="V267" s="815"/>
      <c r="W267" s="816">
        <f>SUM(W260:W266)</f>
        <v>108531.90999999999</v>
      </c>
      <c r="X267" s="815"/>
      <c r="Y267" s="816">
        <f>SUM(Y260:Y266)</f>
        <v>104294.98000000001</v>
      </c>
      <c r="Z267" s="815"/>
      <c r="AA267" s="816">
        <f>SUM(AA260:AA266)</f>
        <v>110893.33</v>
      </c>
      <c r="AB267" s="815"/>
      <c r="AC267" s="816">
        <f>SUM(AC260:AC266)</f>
        <v>0</v>
      </c>
      <c r="AD267" s="758"/>
      <c r="AE267" s="822"/>
      <c r="AF267" s="822"/>
      <c r="AG267" s="822"/>
      <c r="AH267" s="822"/>
      <c r="AI267" s="822"/>
      <c r="AJ267" s="820">
        <f>SUM(AJ260:AJ266)</f>
        <v>0</v>
      </c>
      <c r="AK267" s="823">
        <f>SUM(AK260:AK266)</f>
        <v>0</v>
      </c>
      <c r="AL267" s="823">
        <f>SUM(AL260:AL266)</f>
        <v>0</v>
      </c>
      <c r="AM267" s="821">
        <f>SUM(AM260:AM266)</f>
        <v>0</v>
      </c>
    </row>
    <row r="268" spans="1:40" ht="15.75" hidden="1" thickBot="1">
      <c r="A268" s="5">
        <v>8</v>
      </c>
      <c r="B268" s="16">
        <v>4</v>
      </c>
      <c r="C268" s="16" t="s">
        <v>103</v>
      </c>
      <c r="D268" s="699">
        <v>39678</v>
      </c>
      <c r="E268" s="695">
        <v>9978.98</v>
      </c>
      <c r="F268" s="694">
        <v>40042</v>
      </c>
      <c r="G268" s="695">
        <v>10524.43</v>
      </c>
      <c r="H268" s="694">
        <v>40406</v>
      </c>
      <c r="I268" s="695">
        <v>7889.47</v>
      </c>
      <c r="J268" s="701">
        <v>40770</v>
      </c>
      <c r="K268" s="695">
        <v>6853.65</v>
      </c>
      <c r="L268" s="683">
        <v>41141</v>
      </c>
      <c r="M268" s="707">
        <v>9529.14</v>
      </c>
      <c r="N268" s="683">
        <v>41505</v>
      </c>
      <c r="O268" s="690">
        <v>8026.35</v>
      </c>
      <c r="P268" s="689">
        <v>41869</v>
      </c>
      <c r="Q268" s="686">
        <v>7128.1</v>
      </c>
      <c r="R268" s="635">
        <f>R266+1</f>
        <v>42233</v>
      </c>
      <c r="S268" s="717">
        <v>9440.5499999999993</v>
      </c>
      <c r="T268" s="635">
        <f>T266+1</f>
        <v>42604</v>
      </c>
      <c r="U268" s="717">
        <v>10430.65</v>
      </c>
      <c r="V268" s="635">
        <f>V266+1</f>
        <v>42968</v>
      </c>
      <c r="W268" s="767">
        <v>9607.1</v>
      </c>
      <c r="X268" s="635">
        <f>X266+1</f>
        <v>43332</v>
      </c>
      <c r="Y268" s="767">
        <v>13247.55</v>
      </c>
      <c r="Z268" s="635">
        <f>Z266+1</f>
        <v>43696</v>
      </c>
      <c r="AA268" s="767">
        <v>11391.85</v>
      </c>
      <c r="AB268" s="635">
        <f>AB266+1</f>
        <v>44060</v>
      </c>
      <c r="AC268" s="772"/>
      <c r="AD268" s="863" t="s">
        <v>143</v>
      </c>
      <c r="AJ268" s="751"/>
      <c r="AK268" s="752"/>
      <c r="AL268" s="752"/>
      <c r="AM268" s="762">
        <f t="shared" ref="AM268:AM274" si="574">SUM(AJ268:AL268)</f>
        <v>0</v>
      </c>
      <c r="AN268" s="763">
        <f>AN266+1</f>
        <v>44424</v>
      </c>
    </row>
    <row r="269" spans="1:40" hidden="1">
      <c r="A269" s="7">
        <v>8</v>
      </c>
      <c r="B269">
        <v>4</v>
      </c>
      <c r="C269" t="s">
        <v>104</v>
      </c>
      <c r="D269" s="694">
        <v>39679</v>
      </c>
      <c r="E269" s="695">
        <v>14232.48</v>
      </c>
      <c r="F269" s="697">
        <v>40043</v>
      </c>
      <c r="G269" s="695">
        <v>12318.74</v>
      </c>
      <c r="H269" s="697">
        <v>40407</v>
      </c>
      <c r="I269" s="695">
        <v>8756.58</v>
      </c>
      <c r="J269" s="683">
        <v>40771</v>
      </c>
      <c r="K269" s="695">
        <v>11858.17</v>
      </c>
      <c r="L269" s="683">
        <v>41142</v>
      </c>
      <c r="M269" s="707">
        <v>9597.26</v>
      </c>
      <c r="N269" s="683">
        <v>41506</v>
      </c>
      <c r="O269" s="690">
        <v>13657.71</v>
      </c>
      <c r="P269" s="689">
        <v>41870</v>
      </c>
      <c r="Q269" s="686">
        <v>12923.5</v>
      </c>
      <c r="R269" s="689">
        <f>R268+1</f>
        <v>42234</v>
      </c>
      <c r="S269" s="719">
        <v>11416.6</v>
      </c>
      <c r="T269" s="689">
        <f>T268+1</f>
        <v>42605</v>
      </c>
      <c r="U269" s="719">
        <v>15195.6</v>
      </c>
      <c r="V269" s="689">
        <f>V268+1</f>
        <v>42969</v>
      </c>
      <c r="W269" s="837">
        <v>13863.6</v>
      </c>
      <c r="X269" s="689">
        <f>X268+1</f>
        <v>43333</v>
      </c>
      <c r="Y269" s="837">
        <v>14309.46</v>
      </c>
      <c r="Z269" s="689">
        <f>Z268+1</f>
        <v>43697</v>
      </c>
      <c r="AA269" s="837">
        <v>13978.6</v>
      </c>
      <c r="AB269" s="689">
        <f>AB268+1</f>
        <v>44061</v>
      </c>
      <c r="AC269" s="818"/>
      <c r="AD269" s="864"/>
      <c r="AJ269" s="751"/>
      <c r="AK269" s="752"/>
      <c r="AL269" s="753"/>
      <c r="AM269" s="762">
        <f t="shared" si="574"/>
        <v>0</v>
      </c>
      <c r="AN269" s="763">
        <f>AN268+1</f>
        <v>44425</v>
      </c>
    </row>
    <row r="270" spans="1:40" hidden="1">
      <c r="A270" s="7">
        <v>8</v>
      </c>
      <c r="B270">
        <v>4</v>
      </c>
      <c r="C270" t="s">
        <v>105</v>
      </c>
      <c r="D270" s="697">
        <v>39680</v>
      </c>
      <c r="E270" s="695">
        <v>14759.94</v>
      </c>
      <c r="F270" s="697">
        <v>40044</v>
      </c>
      <c r="G270" s="695">
        <v>16659.36</v>
      </c>
      <c r="H270" s="697">
        <v>40408</v>
      </c>
      <c r="I270" s="695">
        <v>9880.7199999999993</v>
      </c>
      <c r="J270" s="683">
        <v>40772</v>
      </c>
      <c r="K270" s="695">
        <v>10719.15</v>
      </c>
      <c r="L270" s="683">
        <v>41143</v>
      </c>
      <c r="M270" s="707">
        <v>15429.55</v>
      </c>
      <c r="N270" s="683">
        <v>41507</v>
      </c>
      <c r="O270" s="690">
        <v>12151.69</v>
      </c>
      <c r="P270" s="689">
        <v>41871</v>
      </c>
      <c r="Q270" s="686">
        <v>14125.65</v>
      </c>
      <c r="R270" s="689">
        <f t="shared" ref="R270:T274" si="575">R269+1</f>
        <v>42235</v>
      </c>
      <c r="S270" s="719">
        <v>13739.85</v>
      </c>
      <c r="T270" s="689">
        <f t="shared" si="575"/>
        <v>42606</v>
      </c>
      <c r="U270" s="719">
        <v>13572.65</v>
      </c>
      <c r="V270" s="689">
        <f t="shared" ref="V270:Z270" si="576">V269+1</f>
        <v>42970</v>
      </c>
      <c r="W270" s="768">
        <v>15606.47</v>
      </c>
      <c r="X270" s="689">
        <f t="shared" ref="X270" si="577">X269+1</f>
        <v>43334</v>
      </c>
      <c r="Y270" s="768">
        <v>12688.7</v>
      </c>
      <c r="Z270" s="689">
        <f t="shared" si="576"/>
        <v>43698</v>
      </c>
      <c r="AA270" s="768">
        <v>20544.919999999998</v>
      </c>
      <c r="AB270" s="689">
        <f t="shared" ref="AB270" si="578">AB269+1</f>
        <v>44062</v>
      </c>
      <c r="AC270" s="774"/>
      <c r="AD270" s="864"/>
      <c r="AJ270" s="751"/>
      <c r="AK270" s="752"/>
      <c r="AL270" s="753"/>
      <c r="AM270" s="762">
        <f t="shared" si="574"/>
        <v>0</v>
      </c>
      <c r="AN270" s="763">
        <f t="shared" ref="AN270:AN274" si="579">AN269+1</f>
        <v>44426</v>
      </c>
    </row>
    <row r="271" spans="1:40" hidden="1">
      <c r="A271" s="7">
        <v>8</v>
      </c>
      <c r="B271">
        <v>4</v>
      </c>
      <c r="C271" t="s">
        <v>106</v>
      </c>
      <c r="D271" s="697">
        <v>39681</v>
      </c>
      <c r="E271" s="695">
        <v>16380.11</v>
      </c>
      <c r="F271" s="697">
        <v>40045</v>
      </c>
      <c r="G271" s="695">
        <v>12124.68</v>
      </c>
      <c r="H271" s="697">
        <v>40409</v>
      </c>
      <c r="I271" s="695">
        <v>10029.950000000001</v>
      </c>
      <c r="J271" s="683">
        <v>40773</v>
      </c>
      <c r="K271" s="695">
        <v>11625.15</v>
      </c>
      <c r="L271" s="683">
        <v>41144</v>
      </c>
      <c r="M271" s="707">
        <v>20083.400000000001</v>
      </c>
      <c r="N271" s="683">
        <v>41508</v>
      </c>
      <c r="O271" s="690">
        <v>11580.95</v>
      </c>
      <c r="P271" s="689">
        <v>41872</v>
      </c>
      <c r="Q271" s="686">
        <v>14066.16</v>
      </c>
      <c r="R271" s="689">
        <f t="shared" si="575"/>
        <v>42236</v>
      </c>
      <c r="S271" s="719">
        <v>13188.52</v>
      </c>
      <c r="T271" s="689">
        <f t="shared" si="575"/>
        <v>42607</v>
      </c>
      <c r="U271" s="719">
        <v>18850.87</v>
      </c>
      <c r="V271" s="689">
        <f t="shared" ref="V271:Z271" si="580">V270+1</f>
        <v>42971</v>
      </c>
      <c r="W271" s="768">
        <v>16399.86</v>
      </c>
      <c r="X271" s="689">
        <f t="shared" ref="X271" si="581">X270+1</f>
        <v>43335</v>
      </c>
      <c r="Y271" s="768">
        <v>13846.78</v>
      </c>
      <c r="Z271" s="689">
        <f t="shared" si="580"/>
        <v>43699</v>
      </c>
      <c r="AA271" s="768">
        <v>17466</v>
      </c>
      <c r="AB271" s="689">
        <f t="shared" ref="AB271" si="582">AB270+1</f>
        <v>44063</v>
      </c>
      <c r="AC271" s="774"/>
      <c r="AD271" s="864"/>
      <c r="AJ271" s="751"/>
      <c r="AK271" s="752"/>
      <c r="AL271" s="753"/>
      <c r="AM271" s="762">
        <f t="shared" si="574"/>
        <v>0</v>
      </c>
      <c r="AN271" s="763">
        <f t="shared" si="579"/>
        <v>44427</v>
      </c>
    </row>
    <row r="272" spans="1:40" hidden="1">
      <c r="A272" s="7">
        <v>8</v>
      </c>
      <c r="B272">
        <v>4</v>
      </c>
      <c r="C272" t="s">
        <v>107</v>
      </c>
      <c r="D272" s="697">
        <v>39682</v>
      </c>
      <c r="E272" s="695">
        <v>17181.84</v>
      </c>
      <c r="F272" s="697">
        <v>40046</v>
      </c>
      <c r="G272" s="695">
        <v>16200.17</v>
      </c>
      <c r="H272" s="697">
        <v>40410</v>
      </c>
      <c r="I272" s="695">
        <v>15442.89</v>
      </c>
      <c r="J272" s="683">
        <v>40774</v>
      </c>
      <c r="K272" s="695">
        <v>16939.52</v>
      </c>
      <c r="L272" s="683">
        <v>41145</v>
      </c>
      <c r="M272" s="707">
        <v>20724.63</v>
      </c>
      <c r="N272" s="683">
        <v>41509</v>
      </c>
      <c r="O272" s="690">
        <v>14516.26</v>
      </c>
      <c r="P272" s="689">
        <v>41873</v>
      </c>
      <c r="Q272" s="686">
        <v>16634.52</v>
      </c>
      <c r="R272" s="689">
        <f t="shared" si="575"/>
        <v>42237</v>
      </c>
      <c r="S272" s="719">
        <v>18147.16</v>
      </c>
      <c r="T272" s="689">
        <f t="shared" si="575"/>
        <v>42608</v>
      </c>
      <c r="U272" s="719">
        <v>16219.65</v>
      </c>
      <c r="V272" s="689">
        <f t="shared" ref="V272:Z272" si="583">V271+1</f>
        <v>42972</v>
      </c>
      <c r="W272" s="768">
        <v>17236.650000000001</v>
      </c>
      <c r="X272" s="689">
        <f t="shared" ref="X272" si="584">X271+1</f>
        <v>43336</v>
      </c>
      <c r="Y272" s="768">
        <v>14930.67</v>
      </c>
      <c r="Z272" s="689">
        <f t="shared" si="583"/>
        <v>43700</v>
      </c>
      <c r="AA272" s="768">
        <v>22191.96</v>
      </c>
      <c r="AB272" s="689">
        <f t="shared" ref="AB272" si="585">AB271+1</f>
        <v>44064</v>
      </c>
      <c r="AC272" s="774"/>
      <c r="AD272" s="864"/>
      <c r="AJ272" s="751"/>
      <c r="AK272" s="752"/>
      <c r="AL272" s="753"/>
      <c r="AM272" s="762">
        <f t="shared" si="574"/>
        <v>0</v>
      </c>
      <c r="AN272" s="763">
        <f t="shared" si="579"/>
        <v>44428</v>
      </c>
    </row>
    <row r="273" spans="1:40" hidden="1">
      <c r="A273" s="7">
        <v>8</v>
      </c>
      <c r="B273">
        <v>4</v>
      </c>
      <c r="C273" t="s">
        <v>108</v>
      </c>
      <c r="D273" s="697">
        <v>39683</v>
      </c>
      <c r="E273" s="695">
        <v>20228.09</v>
      </c>
      <c r="F273" s="697">
        <v>40047</v>
      </c>
      <c r="G273" s="695">
        <v>19855</v>
      </c>
      <c r="H273" s="697">
        <v>40411</v>
      </c>
      <c r="I273" s="695">
        <v>13208.37</v>
      </c>
      <c r="J273" s="683">
        <v>40775</v>
      </c>
      <c r="K273" s="695">
        <v>17383.75</v>
      </c>
      <c r="L273" s="683">
        <v>41146</v>
      </c>
      <c r="M273" s="707">
        <v>15706.55</v>
      </c>
      <c r="N273" s="683">
        <v>41510</v>
      </c>
      <c r="O273" s="690">
        <v>15421.05</v>
      </c>
      <c r="P273" s="689">
        <v>41874</v>
      </c>
      <c r="Q273" s="686">
        <v>17546.47</v>
      </c>
      <c r="R273" s="689">
        <f t="shared" si="575"/>
        <v>42238</v>
      </c>
      <c r="S273" s="719">
        <v>18558.57</v>
      </c>
      <c r="T273" s="689">
        <f t="shared" si="575"/>
        <v>42609</v>
      </c>
      <c r="U273" s="719">
        <v>21926.560000000001</v>
      </c>
      <c r="V273" s="689">
        <f t="shared" ref="V273:Z273" si="586">V272+1</f>
        <v>42973</v>
      </c>
      <c r="W273" s="768">
        <v>15813.35</v>
      </c>
      <c r="X273" s="689">
        <f t="shared" ref="X273" si="587">X272+1</f>
        <v>43337</v>
      </c>
      <c r="Y273" s="768">
        <v>15823.71</v>
      </c>
      <c r="Z273" s="689">
        <f t="shared" si="586"/>
        <v>43701</v>
      </c>
      <c r="AA273" s="768">
        <v>17704.96</v>
      </c>
      <c r="AB273" s="689">
        <f t="shared" ref="AB273" si="588">AB272+1</f>
        <v>44065</v>
      </c>
      <c r="AC273" s="774"/>
      <c r="AD273" s="864"/>
      <c r="AJ273" s="751"/>
      <c r="AK273" s="752"/>
      <c r="AL273" s="753"/>
      <c r="AM273" s="762">
        <f t="shared" si="574"/>
        <v>0</v>
      </c>
      <c r="AN273" s="763">
        <f t="shared" si="579"/>
        <v>44429</v>
      </c>
    </row>
    <row r="274" spans="1:40" ht="15.75" hidden="1" thickBot="1">
      <c r="A274" s="12">
        <v>8</v>
      </c>
      <c r="B274" s="14">
        <v>4</v>
      </c>
      <c r="C274" s="14" t="s">
        <v>109</v>
      </c>
      <c r="D274" s="697">
        <v>39684</v>
      </c>
      <c r="E274" s="695">
        <v>7910.14</v>
      </c>
      <c r="F274" s="699">
        <v>40048</v>
      </c>
      <c r="G274" s="695">
        <v>6626.52</v>
      </c>
      <c r="H274" s="699">
        <v>40412</v>
      </c>
      <c r="I274" s="695">
        <v>4616.2</v>
      </c>
      <c r="J274" s="700">
        <v>40776</v>
      </c>
      <c r="K274" s="695">
        <v>4155.55</v>
      </c>
      <c r="L274" s="683">
        <v>41147</v>
      </c>
      <c r="M274" s="707">
        <v>6663.45</v>
      </c>
      <c r="N274" s="683">
        <v>41511</v>
      </c>
      <c r="O274" s="690">
        <v>8380.7000000000007</v>
      </c>
      <c r="P274" s="689">
        <v>41875</v>
      </c>
      <c r="Q274" s="686">
        <v>10644.76</v>
      </c>
      <c r="R274" s="761">
        <f t="shared" si="575"/>
        <v>42239</v>
      </c>
      <c r="S274" s="723">
        <v>10207.25</v>
      </c>
      <c r="T274" s="761">
        <f t="shared" si="575"/>
        <v>42610</v>
      </c>
      <c r="U274" s="723">
        <v>12346.16</v>
      </c>
      <c r="V274" s="761">
        <f t="shared" ref="V274:Z274" si="589">V273+1</f>
        <v>42974</v>
      </c>
      <c r="W274" s="769">
        <v>14683.42</v>
      </c>
      <c r="X274" s="761">
        <f t="shared" ref="X274" si="590">X273+1</f>
        <v>43338</v>
      </c>
      <c r="Y274" s="769">
        <v>13260.05</v>
      </c>
      <c r="Z274" s="761">
        <f t="shared" si="589"/>
        <v>43702</v>
      </c>
      <c r="AA274" s="769">
        <v>15302.22</v>
      </c>
      <c r="AB274" s="761">
        <f t="shared" ref="AB274" si="591">AB273+1</f>
        <v>44066</v>
      </c>
      <c r="AC274" s="775"/>
      <c r="AD274" s="865"/>
      <c r="AE274" s="203">
        <f>SUM(E268:E274)</f>
        <v>100671.58</v>
      </c>
      <c r="AF274" s="203">
        <f>SUM(G268:G274)</f>
        <v>94308.900000000009</v>
      </c>
      <c r="AG274" s="203">
        <f>SUM(I268:I274)</f>
        <v>69824.180000000008</v>
      </c>
      <c r="AH274" s="203">
        <f>SUM(K268:K274)</f>
        <v>79534.94</v>
      </c>
      <c r="AI274" s="203">
        <f>SUM(M268:M274)</f>
        <v>97733.98</v>
      </c>
      <c r="AJ274" s="751"/>
      <c r="AK274" s="752"/>
      <c r="AL274" s="754"/>
      <c r="AM274" s="762">
        <f t="shared" si="574"/>
        <v>0</v>
      </c>
      <c r="AN274" s="763">
        <f t="shared" si="579"/>
        <v>44430</v>
      </c>
    </row>
    <row r="275" spans="1:40" s="428" customFormat="1" ht="15.75" hidden="1" thickBot="1">
      <c r="A275" s="486"/>
      <c r="C275" s="809" t="s">
        <v>282</v>
      </c>
      <c r="D275" s="810"/>
      <c r="E275" s="811"/>
      <c r="F275" s="810"/>
      <c r="G275" s="811"/>
      <c r="H275" s="810"/>
      <c r="I275" s="811"/>
      <c r="J275" s="812"/>
      <c r="K275" s="813"/>
      <c r="L275" s="812"/>
      <c r="M275" s="813"/>
      <c r="N275" s="812"/>
      <c r="O275" s="814">
        <f>SUM(O268:O274)</f>
        <v>83734.709999999992</v>
      </c>
      <c r="P275" s="812"/>
      <c r="Q275" s="814">
        <f>SUM(Q268:Q274)</f>
        <v>93069.16</v>
      </c>
      <c r="R275" s="815"/>
      <c r="S275" s="816">
        <f>SUM(S268:S274)</f>
        <v>94698.5</v>
      </c>
      <c r="T275" s="815"/>
      <c r="U275" s="816">
        <f>SUM(U268:U274)</f>
        <v>108542.14</v>
      </c>
      <c r="V275" s="815"/>
      <c r="W275" s="816">
        <f>SUM(W268:W274)</f>
        <v>103210.45</v>
      </c>
      <c r="X275" s="815"/>
      <c r="Y275" s="816">
        <f>SUM(Y268:Y274)</f>
        <v>98106.92</v>
      </c>
      <c r="Z275" s="815"/>
      <c r="AA275" s="816">
        <f>SUM(AA268:AA274)</f>
        <v>118580.50999999998</v>
      </c>
      <c r="AB275" s="815"/>
      <c r="AC275" s="816">
        <f>SUM(AC268:AC274)</f>
        <v>0</v>
      </c>
      <c r="AD275" s="819"/>
      <c r="AE275" s="822"/>
      <c r="AF275" s="822"/>
      <c r="AG275" s="822"/>
      <c r="AH275" s="822"/>
      <c r="AI275" s="822"/>
      <c r="AJ275" s="820">
        <f>SUM(AJ268:AJ274)</f>
        <v>0</v>
      </c>
      <c r="AK275" s="823">
        <f>SUM(AK268:AK274)</f>
        <v>0</v>
      </c>
      <c r="AL275" s="823">
        <f>SUM(AL268:AL274)</f>
        <v>0</v>
      </c>
      <c r="AM275" s="821">
        <f>SUM(AM268:AM274)</f>
        <v>0</v>
      </c>
    </row>
    <row r="276" spans="1:40" ht="15.75" hidden="1" thickBot="1">
      <c r="A276" s="5">
        <v>9</v>
      </c>
      <c r="B276" s="16">
        <v>1</v>
      </c>
      <c r="C276" s="16" t="s">
        <v>103</v>
      </c>
      <c r="D276" s="699">
        <v>39685</v>
      </c>
      <c r="E276" s="695">
        <v>9139.56</v>
      </c>
      <c r="F276" s="694">
        <v>40049</v>
      </c>
      <c r="G276" s="695">
        <v>8157.02</v>
      </c>
      <c r="H276" s="694">
        <v>40413</v>
      </c>
      <c r="I276" s="695">
        <v>8219.1</v>
      </c>
      <c r="J276" s="701">
        <v>40777</v>
      </c>
      <c r="K276" s="695">
        <v>7654.55</v>
      </c>
      <c r="L276" s="683">
        <v>41148</v>
      </c>
      <c r="M276" s="707">
        <v>11692.63</v>
      </c>
      <c r="N276" s="683">
        <v>41512</v>
      </c>
      <c r="O276" s="690">
        <v>7104.05</v>
      </c>
      <c r="P276" s="689">
        <v>41876</v>
      </c>
      <c r="Q276" s="686">
        <v>9872.39</v>
      </c>
      <c r="R276" s="635">
        <f>R274+1</f>
        <v>42240</v>
      </c>
      <c r="S276" s="717">
        <v>11263.95</v>
      </c>
      <c r="T276" s="635">
        <f>T274+1</f>
        <v>42611</v>
      </c>
      <c r="U276" s="776">
        <v>11787.6</v>
      </c>
      <c r="V276" s="635">
        <f>V274+1</f>
        <v>42975</v>
      </c>
      <c r="W276" s="776">
        <v>10932.71</v>
      </c>
      <c r="X276" s="635">
        <f>X274+1</f>
        <v>43339</v>
      </c>
      <c r="Y276" s="776">
        <v>10625.11</v>
      </c>
      <c r="Z276" s="635">
        <f>Z274+1</f>
        <v>43703</v>
      </c>
      <c r="AA276" s="776">
        <v>13870.16</v>
      </c>
      <c r="AB276" s="635">
        <f>AB274+1</f>
        <v>44067</v>
      </c>
      <c r="AC276" s="772"/>
      <c r="AD276" s="863" t="s">
        <v>144</v>
      </c>
      <c r="AJ276" s="751"/>
      <c r="AK276" s="752"/>
      <c r="AL276" s="752"/>
      <c r="AM276" s="762">
        <f t="shared" ref="AM276:AM282" si="592">SUM(AJ276:AL276)</f>
        <v>0</v>
      </c>
      <c r="AN276" s="763">
        <f>AN274+1</f>
        <v>44431</v>
      </c>
    </row>
    <row r="277" spans="1:40" hidden="1">
      <c r="A277" s="7">
        <v>9</v>
      </c>
      <c r="B277">
        <v>1</v>
      </c>
      <c r="C277" t="s">
        <v>104</v>
      </c>
      <c r="D277" s="694">
        <v>39686</v>
      </c>
      <c r="E277" s="695">
        <v>13286.49</v>
      </c>
      <c r="F277" s="697">
        <v>40050</v>
      </c>
      <c r="G277" s="695">
        <v>10040.43</v>
      </c>
      <c r="H277" s="697">
        <v>40414</v>
      </c>
      <c r="I277" s="695">
        <v>11832.05</v>
      </c>
      <c r="J277" s="683">
        <v>40778</v>
      </c>
      <c r="K277" s="695">
        <v>12158.65</v>
      </c>
      <c r="L277" s="683">
        <v>41149</v>
      </c>
      <c r="M277" s="707">
        <v>15382.55</v>
      </c>
      <c r="N277" s="683">
        <v>41513</v>
      </c>
      <c r="O277" s="690">
        <v>12084.45</v>
      </c>
      <c r="P277" s="689">
        <v>41877</v>
      </c>
      <c r="Q277" s="686">
        <v>12788.65</v>
      </c>
      <c r="R277" s="689">
        <f>R276+1</f>
        <v>42241</v>
      </c>
      <c r="S277" s="719">
        <v>12630.5</v>
      </c>
      <c r="T277" s="689">
        <f>T276+1</f>
        <v>42612</v>
      </c>
      <c r="U277" s="827">
        <v>13944.93</v>
      </c>
      <c r="V277" s="689">
        <f>V276+1</f>
        <v>42976</v>
      </c>
      <c r="W277" s="827">
        <v>13125.6</v>
      </c>
      <c r="X277" s="689">
        <f>X276+1</f>
        <v>43340</v>
      </c>
      <c r="Y277" s="827">
        <v>12331.24</v>
      </c>
      <c r="Z277" s="689">
        <f>Z276+1</f>
        <v>43704</v>
      </c>
      <c r="AA277" s="827">
        <v>16581.71</v>
      </c>
      <c r="AB277" s="689">
        <f>AB276+1</f>
        <v>44068</v>
      </c>
      <c r="AC277" s="818"/>
      <c r="AD277" s="864"/>
      <c r="AJ277" s="751"/>
      <c r="AK277" s="752"/>
      <c r="AL277" s="753"/>
      <c r="AM277" s="762">
        <f t="shared" si="592"/>
        <v>0</v>
      </c>
      <c r="AN277" s="763">
        <f>AN276+1</f>
        <v>44432</v>
      </c>
    </row>
    <row r="278" spans="1:40" hidden="1">
      <c r="A278" s="7">
        <v>9</v>
      </c>
      <c r="B278">
        <v>1</v>
      </c>
      <c r="C278" t="s">
        <v>105</v>
      </c>
      <c r="D278" s="697">
        <v>39687</v>
      </c>
      <c r="E278" s="695">
        <v>13121.27</v>
      </c>
      <c r="F278" s="697">
        <v>40051</v>
      </c>
      <c r="G278" s="695">
        <v>13658.68</v>
      </c>
      <c r="H278" s="697">
        <v>40415</v>
      </c>
      <c r="I278" s="695">
        <v>13675.12</v>
      </c>
      <c r="J278" s="683">
        <v>40779</v>
      </c>
      <c r="K278" s="695">
        <v>10999.76</v>
      </c>
      <c r="L278" s="683">
        <v>41150</v>
      </c>
      <c r="M278" s="707">
        <v>18645.599999999999</v>
      </c>
      <c r="N278" s="683">
        <v>41514</v>
      </c>
      <c r="O278" s="690">
        <v>12252.36</v>
      </c>
      <c r="P278" s="689">
        <v>41878</v>
      </c>
      <c r="Q278" s="686">
        <v>15059.15</v>
      </c>
      <c r="R278" s="689">
        <f t="shared" ref="R278:T282" si="593">R277+1</f>
        <v>42242</v>
      </c>
      <c r="S278" s="719">
        <v>15733.3</v>
      </c>
      <c r="T278" s="689">
        <f t="shared" si="593"/>
        <v>42613</v>
      </c>
      <c r="U278" s="777">
        <v>13785.5</v>
      </c>
      <c r="V278" s="689">
        <f t="shared" ref="V278:Z278" si="594">V277+1</f>
        <v>42977</v>
      </c>
      <c r="W278" s="777">
        <v>15501.55</v>
      </c>
      <c r="X278" s="689">
        <f t="shared" ref="X278" si="595">X277+1</f>
        <v>43341</v>
      </c>
      <c r="Y278" s="777">
        <v>18599.849999999999</v>
      </c>
      <c r="Z278" s="689">
        <f t="shared" si="594"/>
        <v>43705</v>
      </c>
      <c r="AA278" s="777">
        <v>14613.11</v>
      </c>
      <c r="AB278" s="689">
        <f t="shared" ref="AB278" si="596">AB277+1</f>
        <v>44069</v>
      </c>
      <c r="AC278" s="774"/>
      <c r="AD278" s="864"/>
      <c r="AJ278" s="751"/>
      <c r="AK278" s="752"/>
      <c r="AL278" s="753"/>
      <c r="AM278" s="762">
        <f t="shared" si="592"/>
        <v>0</v>
      </c>
      <c r="AN278" s="763">
        <f t="shared" ref="AN278:AN282" si="597">AN277+1</f>
        <v>44433</v>
      </c>
    </row>
    <row r="279" spans="1:40" hidden="1">
      <c r="A279" s="7">
        <v>9</v>
      </c>
      <c r="B279">
        <v>1</v>
      </c>
      <c r="C279" t="s">
        <v>106</v>
      </c>
      <c r="D279" s="697">
        <v>39688</v>
      </c>
      <c r="E279" s="695">
        <v>14665.96</v>
      </c>
      <c r="F279" s="697">
        <v>40052</v>
      </c>
      <c r="G279" s="695">
        <v>14583.11</v>
      </c>
      <c r="H279" s="697">
        <v>40416</v>
      </c>
      <c r="I279" s="695">
        <v>11255.17</v>
      </c>
      <c r="J279" s="683">
        <v>40780</v>
      </c>
      <c r="K279" s="695">
        <v>13618.45</v>
      </c>
      <c r="L279" s="683">
        <v>41151</v>
      </c>
      <c r="M279" s="707">
        <v>18750.95</v>
      </c>
      <c r="N279" s="683">
        <v>41515</v>
      </c>
      <c r="O279" s="690">
        <v>12070.11</v>
      </c>
      <c r="P279" s="689">
        <v>41879</v>
      </c>
      <c r="Q279" s="686">
        <v>13912.5</v>
      </c>
      <c r="R279" s="689">
        <f t="shared" si="593"/>
        <v>42243</v>
      </c>
      <c r="S279" s="719">
        <v>14399.19</v>
      </c>
      <c r="T279" s="689">
        <f t="shared" si="593"/>
        <v>42614</v>
      </c>
      <c r="U279" s="777">
        <v>13372.8</v>
      </c>
      <c r="V279" s="689">
        <f t="shared" ref="V279:Z279" si="598">V278+1</f>
        <v>42978</v>
      </c>
      <c r="W279" s="777">
        <v>15329.21</v>
      </c>
      <c r="X279" s="689">
        <f t="shared" ref="X279" si="599">X278+1</f>
        <v>43342</v>
      </c>
      <c r="Y279" s="777">
        <v>12981.7</v>
      </c>
      <c r="Z279" s="689">
        <f t="shared" si="598"/>
        <v>43706</v>
      </c>
      <c r="AA279" s="777">
        <v>17810.66</v>
      </c>
      <c r="AB279" s="689">
        <f t="shared" ref="AB279" si="600">AB278+1</f>
        <v>44070</v>
      </c>
      <c r="AC279" s="774"/>
      <c r="AD279" s="864"/>
      <c r="AJ279" s="751"/>
      <c r="AK279" s="752"/>
      <c r="AL279" s="753"/>
      <c r="AM279" s="762">
        <f t="shared" si="592"/>
        <v>0</v>
      </c>
      <c r="AN279" s="763">
        <f t="shared" si="597"/>
        <v>44434</v>
      </c>
    </row>
    <row r="280" spans="1:40" hidden="1">
      <c r="A280" s="7">
        <v>9</v>
      </c>
      <c r="B280">
        <v>1</v>
      </c>
      <c r="C280" t="s">
        <v>107</v>
      </c>
      <c r="D280" s="697">
        <v>39689</v>
      </c>
      <c r="E280" s="695">
        <v>16706.349999999999</v>
      </c>
      <c r="F280" s="697">
        <v>40053</v>
      </c>
      <c r="G280" s="695">
        <v>16421.990000000002</v>
      </c>
      <c r="H280" s="697">
        <v>40417</v>
      </c>
      <c r="I280" s="695">
        <v>18424.990000000002</v>
      </c>
      <c r="J280" s="683">
        <v>40781</v>
      </c>
      <c r="K280" s="695">
        <v>21148.55</v>
      </c>
      <c r="L280" s="683">
        <v>41152</v>
      </c>
      <c r="M280" s="707">
        <v>21602.47</v>
      </c>
      <c r="N280" s="683">
        <v>41516</v>
      </c>
      <c r="O280" s="690">
        <v>16754</v>
      </c>
      <c r="P280" s="689">
        <v>41880</v>
      </c>
      <c r="Q280" s="686">
        <v>25179.57</v>
      </c>
      <c r="R280" s="689">
        <f t="shared" si="593"/>
        <v>42244</v>
      </c>
      <c r="S280" s="719">
        <v>16577.25</v>
      </c>
      <c r="T280" s="689">
        <f t="shared" si="593"/>
        <v>42615</v>
      </c>
      <c r="U280" s="777">
        <v>17543.099999999999</v>
      </c>
      <c r="V280" s="689">
        <f t="shared" ref="V280:Z280" si="601">V279+1</f>
        <v>42979</v>
      </c>
      <c r="W280" s="777">
        <v>18309.82</v>
      </c>
      <c r="X280" s="689">
        <f t="shared" ref="X280" si="602">X279+1</f>
        <v>43343</v>
      </c>
      <c r="Y280" s="777">
        <v>19964.2</v>
      </c>
      <c r="Z280" s="689">
        <f t="shared" si="601"/>
        <v>43707</v>
      </c>
      <c r="AA280" s="777">
        <v>22670.85</v>
      </c>
      <c r="AB280" s="689">
        <f t="shared" ref="AB280" si="603">AB279+1</f>
        <v>44071</v>
      </c>
      <c r="AC280" s="774"/>
      <c r="AD280" s="864"/>
      <c r="AJ280" s="751"/>
      <c r="AK280" s="752"/>
      <c r="AL280" s="753"/>
      <c r="AM280" s="762">
        <f t="shared" si="592"/>
        <v>0</v>
      </c>
      <c r="AN280" s="763">
        <f t="shared" si="597"/>
        <v>44435</v>
      </c>
    </row>
    <row r="281" spans="1:40" hidden="1">
      <c r="A281" s="7">
        <v>9</v>
      </c>
      <c r="B281">
        <v>1</v>
      </c>
      <c r="C281" t="s">
        <v>108</v>
      </c>
      <c r="D281" s="697">
        <v>39690</v>
      </c>
      <c r="E281" s="695">
        <v>19075.009999999998</v>
      </c>
      <c r="F281" s="697">
        <v>40054</v>
      </c>
      <c r="G281" s="695">
        <v>18138.59</v>
      </c>
      <c r="H281" s="697">
        <v>40418</v>
      </c>
      <c r="I281" s="695">
        <v>17898.5</v>
      </c>
      <c r="J281" s="683">
        <v>40782</v>
      </c>
      <c r="K281" s="695">
        <v>9577.68</v>
      </c>
      <c r="L281" s="683">
        <v>41153</v>
      </c>
      <c r="M281" s="707">
        <v>19192.060000000001</v>
      </c>
      <c r="N281" s="683">
        <v>41517</v>
      </c>
      <c r="O281" s="690">
        <v>20763</v>
      </c>
      <c r="P281" s="689">
        <v>41881</v>
      </c>
      <c r="Q281" s="686">
        <v>20379.939999999999</v>
      </c>
      <c r="R281" s="689">
        <f t="shared" si="593"/>
        <v>42245</v>
      </c>
      <c r="S281" s="719">
        <v>20263.419999999998</v>
      </c>
      <c r="T281" s="689">
        <f t="shared" si="593"/>
        <v>42616</v>
      </c>
      <c r="U281" s="777">
        <v>14203.61</v>
      </c>
      <c r="V281" s="689">
        <f t="shared" ref="V281:Z281" si="604">V280+1</f>
        <v>42980</v>
      </c>
      <c r="W281" s="777">
        <v>14719.11</v>
      </c>
      <c r="X281" s="689">
        <f t="shared" ref="X281" si="605">X280+1</f>
        <v>43344</v>
      </c>
      <c r="Y281" s="777">
        <v>18885.400000000001</v>
      </c>
      <c r="Z281" s="689">
        <f t="shared" si="604"/>
        <v>43708</v>
      </c>
      <c r="AA281" s="777">
        <v>18142.5</v>
      </c>
      <c r="AB281" s="689">
        <f t="shared" ref="AB281" si="606">AB280+1</f>
        <v>44072</v>
      </c>
      <c r="AC281" s="774"/>
      <c r="AD281" s="864"/>
      <c r="AJ281" s="751"/>
      <c r="AK281" s="752"/>
      <c r="AL281" s="753"/>
      <c r="AM281" s="762">
        <f t="shared" si="592"/>
        <v>0</v>
      </c>
      <c r="AN281" s="763">
        <f t="shared" si="597"/>
        <v>44436</v>
      </c>
    </row>
    <row r="282" spans="1:40" ht="15.75" hidden="1" thickBot="1">
      <c r="A282" s="12">
        <v>9</v>
      </c>
      <c r="B282" s="14">
        <v>1</v>
      </c>
      <c r="C282" s="14" t="s">
        <v>109</v>
      </c>
      <c r="D282" s="697">
        <v>39691</v>
      </c>
      <c r="E282" s="695">
        <v>8517.51</v>
      </c>
      <c r="F282" s="699">
        <v>40055</v>
      </c>
      <c r="G282" s="695">
        <v>6550.89</v>
      </c>
      <c r="H282" s="699">
        <v>40419</v>
      </c>
      <c r="I282" s="695">
        <v>6331.39</v>
      </c>
      <c r="J282" s="700">
        <v>40783</v>
      </c>
      <c r="K282" s="680">
        <v>0</v>
      </c>
      <c r="L282" s="683">
        <v>41154</v>
      </c>
      <c r="M282" s="680">
        <v>10572.69</v>
      </c>
      <c r="N282" s="683">
        <v>41518</v>
      </c>
      <c r="O282" s="679">
        <v>9955.9599999999991</v>
      </c>
      <c r="P282" s="689">
        <v>41882</v>
      </c>
      <c r="Q282" s="685">
        <v>18958.05</v>
      </c>
      <c r="R282" s="761">
        <f t="shared" si="593"/>
        <v>42246</v>
      </c>
      <c r="S282" s="723">
        <v>10043.11</v>
      </c>
      <c r="T282" s="761">
        <f t="shared" si="593"/>
        <v>42617</v>
      </c>
      <c r="U282" s="817">
        <v>10586.51</v>
      </c>
      <c r="V282" s="761">
        <f t="shared" ref="V282:Z282" si="607">V281+1</f>
        <v>42981</v>
      </c>
      <c r="W282" s="817">
        <v>15545.61</v>
      </c>
      <c r="X282" s="761">
        <f t="shared" ref="X282" si="608">X281+1</f>
        <v>43345</v>
      </c>
      <c r="Y282" s="817">
        <v>14590.93</v>
      </c>
      <c r="Z282" s="761">
        <f t="shared" si="607"/>
        <v>43709</v>
      </c>
      <c r="AA282" s="817">
        <v>15058.02</v>
      </c>
      <c r="AB282" s="761">
        <f t="shared" ref="AB282" si="609">AB281+1</f>
        <v>44073</v>
      </c>
      <c r="AC282" s="775"/>
      <c r="AD282" s="865"/>
      <c r="AE282" s="203">
        <f>SUM(E276:E282)</f>
        <v>94512.15</v>
      </c>
      <c r="AF282" s="203">
        <f>SUM(G276:G282)</f>
        <v>87550.71</v>
      </c>
      <c r="AG282" s="203">
        <f>SUM(I276:I282)</f>
        <v>87636.32</v>
      </c>
      <c r="AH282" s="203">
        <f>SUM(K276:K282)</f>
        <v>75157.640000000014</v>
      </c>
      <c r="AI282" s="203">
        <f>SUM(M276:M282)</f>
        <v>115838.95</v>
      </c>
      <c r="AJ282" s="751"/>
      <c r="AK282" s="752"/>
      <c r="AL282" s="754"/>
      <c r="AM282" s="762">
        <f t="shared" si="592"/>
        <v>0</v>
      </c>
      <c r="AN282" s="763">
        <f t="shared" si="597"/>
        <v>44437</v>
      </c>
    </row>
    <row r="283" spans="1:40" ht="15.75" hidden="1" thickBot="1">
      <c r="A283" s="7"/>
      <c r="C283" s="809" t="s">
        <v>282</v>
      </c>
      <c r="D283" s="810"/>
      <c r="E283" s="811"/>
      <c r="F283" s="810"/>
      <c r="G283" s="811"/>
      <c r="H283" s="810"/>
      <c r="I283" s="811"/>
      <c r="J283" s="812"/>
      <c r="K283" s="813"/>
      <c r="L283" s="812"/>
      <c r="M283" s="813"/>
      <c r="N283" s="812"/>
      <c r="O283" s="814">
        <f>SUM(O276:O282)</f>
        <v>90983.93</v>
      </c>
      <c r="P283" s="812"/>
      <c r="Q283" s="814">
        <f>SUM(Q276:Q282)</f>
        <v>116150.25000000001</v>
      </c>
      <c r="R283" s="815"/>
      <c r="S283" s="816">
        <f>SUM(S276:S282)</f>
        <v>100910.72</v>
      </c>
      <c r="T283" s="815"/>
      <c r="U283" s="816">
        <f>SUM(U276:U282)</f>
        <v>95224.049999999988</v>
      </c>
      <c r="V283" s="815"/>
      <c r="W283" s="816">
        <f>SUM(W276:W282)</f>
        <v>103463.61</v>
      </c>
      <c r="X283" s="815"/>
      <c r="Y283" s="816">
        <f>SUM(Y276:Y282)</f>
        <v>107978.43</v>
      </c>
      <c r="Z283" s="815"/>
      <c r="AA283" s="816">
        <f>SUM(AA276:AA282)</f>
        <v>118747.01</v>
      </c>
      <c r="AB283" s="815"/>
      <c r="AC283" s="816">
        <f>SUM(AC276:AC282)</f>
        <v>0</v>
      </c>
      <c r="AD283" s="758"/>
      <c r="AE283" s="203"/>
      <c r="AF283" s="203"/>
      <c r="AG283" s="203"/>
      <c r="AH283" s="203"/>
      <c r="AI283" s="203"/>
      <c r="AJ283" s="641">
        <f>SUM(AJ276:AJ282)</f>
        <v>0</v>
      </c>
      <c r="AK283" s="642">
        <f>SUM(AK276:AK282)</f>
        <v>0</v>
      </c>
      <c r="AL283" s="642">
        <f>SUM(AL276:AL282)</f>
        <v>0</v>
      </c>
      <c r="AM283" s="643">
        <f>SUM(AM276:AM282)</f>
        <v>0</v>
      </c>
    </row>
    <row r="284" spans="1:40" ht="15.75" hidden="1" thickBot="1">
      <c r="A284" s="5">
        <v>9</v>
      </c>
      <c r="B284" s="16">
        <v>2</v>
      </c>
      <c r="C284" s="16" t="s">
        <v>103</v>
      </c>
      <c r="D284" s="699">
        <v>39692</v>
      </c>
      <c r="E284" s="695">
        <v>8398.42</v>
      </c>
      <c r="F284" s="694">
        <v>40056</v>
      </c>
      <c r="G284" s="695">
        <v>6733.46</v>
      </c>
      <c r="H284" s="694">
        <v>40420</v>
      </c>
      <c r="I284" s="695">
        <v>8644.3700000000008</v>
      </c>
      <c r="J284" s="701">
        <v>40784</v>
      </c>
      <c r="K284" s="681">
        <v>0</v>
      </c>
      <c r="L284" s="683">
        <v>41155</v>
      </c>
      <c r="M284" s="681">
        <v>6611.35</v>
      </c>
      <c r="N284" s="683">
        <v>41519</v>
      </c>
      <c r="O284" s="679">
        <v>8290.06</v>
      </c>
      <c r="P284" s="689">
        <v>41883</v>
      </c>
      <c r="Q284" s="685">
        <v>13667</v>
      </c>
      <c r="R284" s="635">
        <f>R282+1</f>
        <v>42247</v>
      </c>
      <c r="S284" s="776">
        <v>9472.5</v>
      </c>
      <c r="T284" s="635">
        <f>T282+1</f>
        <v>42618</v>
      </c>
      <c r="U284" s="776">
        <v>9107</v>
      </c>
      <c r="V284" s="635">
        <f>V282+1</f>
        <v>42982</v>
      </c>
      <c r="W284" s="776">
        <v>9032.35</v>
      </c>
      <c r="X284" s="635">
        <f>X282+1</f>
        <v>43346</v>
      </c>
      <c r="Y284" s="776">
        <v>9778.67</v>
      </c>
      <c r="Z284" s="635">
        <f>Z282+1</f>
        <v>43710</v>
      </c>
      <c r="AA284" s="776">
        <v>10881.66</v>
      </c>
      <c r="AB284" s="635">
        <f>AB282+1</f>
        <v>44074</v>
      </c>
      <c r="AC284" s="772"/>
      <c r="AD284" s="863" t="s">
        <v>145</v>
      </c>
      <c r="AJ284" s="751"/>
      <c r="AK284" s="752"/>
      <c r="AL284" s="752"/>
      <c r="AM284" s="762">
        <f t="shared" ref="AM284:AM290" si="610">SUM(AJ284:AL284)</f>
        <v>0</v>
      </c>
      <c r="AN284" s="763">
        <f>AN282+1</f>
        <v>44438</v>
      </c>
    </row>
    <row r="285" spans="1:40" hidden="1">
      <c r="A285" s="7">
        <v>9</v>
      </c>
      <c r="B285">
        <v>2</v>
      </c>
      <c r="C285" t="s">
        <v>104</v>
      </c>
      <c r="D285" s="694">
        <v>39693</v>
      </c>
      <c r="E285" s="695">
        <v>9339.52</v>
      </c>
      <c r="F285" s="697">
        <v>40057</v>
      </c>
      <c r="G285" s="695">
        <v>9074.7900000000009</v>
      </c>
      <c r="H285" s="697">
        <v>40421</v>
      </c>
      <c r="I285" s="695">
        <v>10151.15</v>
      </c>
      <c r="J285" s="683">
        <v>40785</v>
      </c>
      <c r="K285" s="695">
        <v>6154.67</v>
      </c>
      <c r="L285" s="683">
        <v>41156</v>
      </c>
      <c r="M285" s="707">
        <v>5590.75</v>
      </c>
      <c r="N285" s="683">
        <v>41520</v>
      </c>
      <c r="O285" s="690">
        <v>7428.8</v>
      </c>
      <c r="P285" s="689">
        <v>41884</v>
      </c>
      <c r="Q285" s="686">
        <v>8427.5</v>
      </c>
      <c r="R285" s="689">
        <f>R284+1</f>
        <v>42248</v>
      </c>
      <c r="S285" s="777">
        <v>14206.45</v>
      </c>
      <c r="T285" s="689">
        <f>T284+1</f>
        <v>42619</v>
      </c>
      <c r="U285" s="827">
        <v>10611.15</v>
      </c>
      <c r="V285" s="689">
        <f>V284+1</f>
        <v>42983</v>
      </c>
      <c r="W285" s="827">
        <v>9156.91</v>
      </c>
      <c r="X285" s="689">
        <f>X284+1</f>
        <v>43347</v>
      </c>
      <c r="Y285" s="827">
        <v>7778.58</v>
      </c>
      <c r="Z285" s="689">
        <f>Z284+1</f>
        <v>43711</v>
      </c>
      <c r="AA285" s="827">
        <v>9025.5499999999993</v>
      </c>
      <c r="AB285" s="689">
        <f>AB284+1</f>
        <v>44075</v>
      </c>
      <c r="AC285" s="818"/>
      <c r="AD285" s="864"/>
      <c r="AJ285" s="751"/>
      <c r="AK285" s="752"/>
      <c r="AL285" s="753"/>
      <c r="AM285" s="762">
        <f t="shared" si="610"/>
        <v>0</v>
      </c>
      <c r="AN285" s="763">
        <f>AN284+1</f>
        <v>44439</v>
      </c>
    </row>
    <row r="286" spans="1:40" hidden="1">
      <c r="A286" s="7">
        <v>9</v>
      </c>
      <c r="B286">
        <v>2</v>
      </c>
      <c r="C286" t="s">
        <v>105</v>
      </c>
      <c r="D286" s="697">
        <v>39694</v>
      </c>
      <c r="E286" s="695">
        <v>12815.28</v>
      </c>
      <c r="F286" s="697">
        <v>40058</v>
      </c>
      <c r="G286" s="695">
        <v>13372.48</v>
      </c>
      <c r="H286" s="697">
        <v>40422</v>
      </c>
      <c r="I286" s="695">
        <v>9539.4500000000007</v>
      </c>
      <c r="J286" s="683">
        <v>40786</v>
      </c>
      <c r="K286" s="695">
        <v>10879.5</v>
      </c>
      <c r="L286" s="683">
        <v>41157</v>
      </c>
      <c r="M286" s="707">
        <v>10459.65</v>
      </c>
      <c r="N286" s="683">
        <v>41521</v>
      </c>
      <c r="O286" s="690">
        <v>11943.76</v>
      </c>
      <c r="P286" s="689">
        <v>41885</v>
      </c>
      <c r="Q286" s="686">
        <v>10931.95</v>
      </c>
      <c r="R286" s="689">
        <f t="shared" ref="R286:T290" si="611">R285+1</f>
        <v>42249</v>
      </c>
      <c r="S286" s="777">
        <v>14857.8</v>
      </c>
      <c r="T286" s="689">
        <f t="shared" si="611"/>
        <v>42620</v>
      </c>
      <c r="U286" s="777">
        <v>14884.65</v>
      </c>
      <c r="V286" s="689">
        <f t="shared" ref="V286:Z286" si="612">V285+1</f>
        <v>42984</v>
      </c>
      <c r="W286" s="777">
        <v>12506.58</v>
      </c>
      <c r="X286" s="689">
        <f t="shared" ref="X286" si="613">X285+1</f>
        <v>43348</v>
      </c>
      <c r="Y286" s="777">
        <v>12597.64</v>
      </c>
      <c r="Z286" s="689">
        <f t="shared" si="612"/>
        <v>43712</v>
      </c>
      <c r="AA286" s="777">
        <v>12057.35</v>
      </c>
      <c r="AB286" s="689">
        <f t="shared" ref="AB286" si="614">AB285+1</f>
        <v>44076</v>
      </c>
      <c r="AC286" s="774"/>
      <c r="AD286" s="864"/>
      <c r="AJ286" s="751"/>
      <c r="AK286" s="752"/>
      <c r="AL286" s="753"/>
      <c r="AM286" s="762">
        <f t="shared" si="610"/>
        <v>0</v>
      </c>
      <c r="AN286" s="763">
        <f t="shared" ref="AN286:AN290" si="615">AN285+1</f>
        <v>44440</v>
      </c>
    </row>
    <row r="287" spans="1:40" hidden="1">
      <c r="A287" s="7">
        <v>9</v>
      </c>
      <c r="B287">
        <v>2</v>
      </c>
      <c r="C287" t="s">
        <v>106</v>
      </c>
      <c r="D287" s="697">
        <v>39695</v>
      </c>
      <c r="E287" s="695">
        <v>14427.3</v>
      </c>
      <c r="F287" s="697">
        <v>40059</v>
      </c>
      <c r="G287" s="695">
        <v>9405.99</v>
      </c>
      <c r="H287" s="697">
        <v>40423</v>
      </c>
      <c r="I287" s="695">
        <v>10176.41</v>
      </c>
      <c r="J287" s="683">
        <v>40787</v>
      </c>
      <c r="K287" s="695">
        <v>10733.15</v>
      </c>
      <c r="L287" s="683">
        <v>41158</v>
      </c>
      <c r="M287" s="707">
        <v>10351.450000000001</v>
      </c>
      <c r="N287" s="683">
        <v>41522</v>
      </c>
      <c r="O287" s="690">
        <v>10700.06</v>
      </c>
      <c r="P287" s="689">
        <v>41886</v>
      </c>
      <c r="Q287" s="686">
        <v>11261.46</v>
      </c>
      <c r="R287" s="689">
        <f t="shared" si="611"/>
        <v>42250</v>
      </c>
      <c r="S287" s="777">
        <v>13860.9</v>
      </c>
      <c r="T287" s="689">
        <f t="shared" si="611"/>
        <v>42621</v>
      </c>
      <c r="U287" s="777">
        <v>11873.81</v>
      </c>
      <c r="V287" s="689">
        <f t="shared" ref="V287:Z287" si="616">V286+1</f>
        <v>42985</v>
      </c>
      <c r="W287" s="777">
        <v>12572.81</v>
      </c>
      <c r="X287" s="689">
        <f t="shared" ref="X287" si="617">X286+1</f>
        <v>43349</v>
      </c>
      <c r="Y287" s="777">
        <v>12330.86</v>
      </c>
      <c r="Z287" s="689">
        <f t="shared" si="616"/>
        <v>43713</v>
      </c>
      <c r="AA287" s="777">
        <v>11596.93</v>
      </c>
      <c r="AB287" s="689">
        <f t="shared" ref="AB287" si="618">AB286+1</f>
        <v>44077</v>
      </c>
      <c r="AC287" s="774"/>
      <c r="AD287" s="864"/>
      <c r="AJ287" s="751"/>
      <c r="AK287" s="752"/>
      <c r="AL287" s="753"/>
      <c r="AM287" s="762">
        <f t="shared" si="610"/>
        <v>0</v>
      </c>
      <c r="AN287" s="763">
        <f t="shared" si="615"/>
        <v>44441</v>
      </c>
    </row>
    <row r="288" spans="1:40" hidden="1">
      <c r="A288" s="7">
        <v>9</v>
      </c>
      <c r="B288">
        <v>2</v>
      </c>
      <c r="C288" t="s">
        <v>107</v>
      </c>
      <c r="D288" s="697">
        <v>39696</v>
      </c>
      <c r="E288" s="695">
        <v>19590.830000000002</v>
      </c>
      <c r="F288" s="697">
        <v>40060</v>
      </c>
      <c r="G288" s="695">
        <v>17902.419999999998</v>
      </c>
      <c r="H288" s="697">
        <v>40424</v>
      </c>
      <c r="I288" s="695">
        <v>12917.05</v>
      </c>
      <c r="J288" s="683">
        <v>40788</v>
      </c>
      <c r="K288" s="695">
        <v>23336.42</v>
      </c>
      <c r="L288" s="683">
        <v>41159</v>
      </c>
      <c r="M288" s="707">
        <v>16150.65</v>
      </c>
      <c r="N288" s="683">
        <v>41523</v>
      </c>
      <c r="O288" s="690">
        <v>15593</v>
      </c>
      <c r="P288" s="689">
        <v>41887</v>
      </c>
      <c r="Q288" s="686">
        <v>23155.02</v>
      </c>
      <c r="R288" s="689">
        <f t="shared" si="611"/>
        <v>42251</v>
      </c>
      <c r="S288" s="777">
        <v>18600.2</v>
      </c>
      <c r="T288" s="689">
        <f t="shared" si="611"/>
        <v>42622</v>
      </c>
      <c r="U288" s="777">
        <v>15332.91</v>
      </c>
      <c r="V288" s="689">
        <f t="shared" ref="V288:Z288" si="619">V287+1</f>
        <v>42986</v>
      </c>
      <c r="W288" s="777">
        <v>18098.77</v>
      </c>
      <c r="X288" s="689">
        <f t="shared" ref="X288" si="620">X287+1</f>
        <v>43350</v>
      </c>
      <c r="Y288" s="777">
        <v>22317.25</v>
      </c>
      <c r="Z288" s="689">
        <f t="shared" si="619"/>
        <v>43714</v>
      </c>
      <c r="AA288" s="777">
        <v>20758.150000000001</v>
      </c>
      <c r="AB288" s="689">
        <f t="shared" ref="AB288" si="621">AB287+1</f>
        <v>44078</v>
      </c>
      <c r="AC288" s="774"/>
      <c r="AD288" s="864"/>
      <c r="AJ288" s="751"/>
      <c r="AK288" s="752"/>
      <c r="AL288" s="753"/>
      <c r="AM288" s="762">
        <f t="shared" si="610"/>
        <v>0</v>
      </c>
      <c r="AN288" s="763">
        <f t="shared" si="615"/>
        <v>44442</v>
      </c>
    </row>
    <row r="289" spans="1:40" hidden="1">
      <c r="A289" s="7">
        <v>9</v>
      </c>
      <c r="B289">
        <v>2</v>
      </c>
      <c r="C289" t="s">
        <v>108</v>
      </c>
      <c r="D289" s="697">
        <v>39697</v>
      </c>
      <c r="E289" s="695">
        <v>17391.86</v>
      </c>
      <c r="F289" s="697">
        <v>40061</v>
      </c>
      <c r="G289" s="695">
        <v>13529.08</v>
      </c>
      <c r="H289" s="697">
        <v>40425</v>
      </c>
      <c r="I289" s="695">
        <v>13312.03</v>
      </c>
      <c r="J289" s="683">
        <v>40789</v>
      </c>
      <c r="K289" s="695">
        <v>18179.400000000001</v>
      </c>
      <c r="L289" s="683">
        <v>41160</v>
      </c>
      <c r="M289" s="707">
        <v>15068.81</v>
      </c>
      <c r="N289" s="683">
        <v>41524</v>
      </c>
      <c r="O289" s="690">
        <v>15842.35</v>
      </c>
      <c r="P289" s="689">
        <v>41888</v>
      </c>
      <c r="Q289" s="686">
        <v>21774.51</v>
      </c>
      <c r="R289" s="689">
        <f t="shared" si="611"/>
        <v>42252</v>
      </c>
      <c r="S289" s="777">
        <v>15836.56</v>
      </c>
      <c r="T289" s="689">
        <f t="shared" si="611"/>
        <v>42623</v>
      </c>
      <c r="U289" s="777">
        <v>20186.22</v>
      </c>
      <c r="V289" s="689">
        <f t="shared" ref="V289:Z289" si="622">V288+1</f>
        <v>42987</v>
      </c>
      <c r="W289" s="777">
        <v>23381.21</v>
      </c>
      <c r="X289" s="689">
        <f t="shared" ref="X289" si="623">X288+1</f>
        <v>43351</v>
      </c>
      <c r="Y289" s="777">
        <v>29232.43</v>
      </c>
      <c r="Z289" s="689">
        <f t="shared" si="622"/>
        <v>43715</v>
      </c>
      <c r="AA289" s="777">
        <v>24502.46</v>
      </c>
      <c r="AB289" s="689">
        <f t="shared" ref="AB289" si="624">AB288+1</f>
        <v>44079</v>
      </c>
      <c r="AC289" s="774"/>
      <c r="AD289" s="864"/>
      <c r="AJ289" s="751"/>
      <c r="AK289" s="752"/>
      <c r="AL289" s="753"/>
      <c r="AM289" s="762">
        <f t="shared" si="610"/>
        <v>0</v>
      </c>
      <c r="AN289" s="763">
        <f t="shared" si="615"/>
        <v>44443</v>
      </c>
    </row>
    <row r="290" spans="1:40" ht="15.75" hidden="1" thickBot="1">
      <c r="A290" s="12">
        <v>9</v>
      </c>
      <c r="B290" s="14">
        <v>2</v>
      </c>
      <c r="C290" s="14" t="s">
        <v>109</v>
      </c>
      <c r="D290" s="697">
        <v>39698</v>
      </c>
      <c r="E290" s="695">
        <v>5178.7700000000004</v>
      </c>
      <c r="F290" s="699">
        <v>40062</v>
      </c>
      <c r="G290" s="695">
        <v>6930.39</v>
      </c>
      <c r="H290" s="699">
        <v>40426</v>
      </c>
      <c r="I290" s="695">
        <v>7059.24</v>
      </c>
      <c r="J290" s="700">
        <v>40790</v>
      </c>
      <c r="K290" s="695">
        <v>7650.3</v>
      </c>
      <c r="L290" s="683">
        <v>41161</v>
      </c>
      <c r="M290" s="707">
        <v>7492.6</v>
      </c>
      <c r="N290" s="683">
        <v>41525</v>
      </c>
      <c r="O290" s="690">
        <v>8127.3</v>
      </c>
      <c r="P290" s="689">
        <v>41889</v>
      </c>
      <c r="Q290" s="686">
        <v>7045.05</v>
      </c>
      <c r="R290" s="761">
        <f t="shared" si="611"/>
        <v>42253</v>
      </c>
      <c r="S290" s="778">
        <v>11689.31</v>
      </c>
      <c r="T290" s="761">
        <f t="shared" si="611"/>
        <v>42624</v>
      </c>
      <c r="U290" s="817">
        <v>10277.4</v>
      </c>
      <c r="V290" s="761">
        <f t="shared" ref="V290:Z290" si="625">V289+1</f>
        <v>42988</v>
      </c>
      <c r="W290" s="817">
        <v>12245.05</v>
      </c>
      <c r="X290" s="761">
        <f t="shared" ref="X290" si="626">X289+1</f>
        <v>43352</v>
      </c>
      <c r="Y290" s="817">
        <v>9257.81</v>
      </c>
      <c r="Z290" s="761">
        <f t="shared" si="625"/>
        <v>43716</v>
      </c>
      <c r="AA290" s="817">
        <v>10083.42</v>
      </c>
      <c r="AB290" s="761">
        <f t="shared" ref="AB290" si="627">AB289+1</f>
        <v>44080</v>
      </c>
      <c r="AC290" s="775"/>
      <c r="AD290" s="865"/>
      <c r="AE290" s="203">
        <f>SUM(E284:E290)</f>
        <v>87141.98000000001</v>
      </c>
      <c r="AF290" s="203">
        <f>SUM(G284:G290)</f>
        <v>76948.61</v>
      </c>
      <c r="AG290" s="203">
        <f>SUM(I284:I290)</f>
        <v>71799.700000000012</v>
      </c>
      <c r="AH290" s="203">
        <f>SUM(K284:K290)</f>
        <v>76933.440000000002</v>
      </c>
      <c r="AI290" s="203">
        <f>SUM(M284:M290)</f>
        <v>71725.259999999995</v>
      </c>
      <c r="AJ290" s="751"/>
      <c r="AK290" s="752"/>
      <c r="AL290" s="754"/>
      <c r="AM290" s="762">
        <f t="shared" si="610"/>
        <v>0</v>
      </c>
      <c r="AN290" s="763">
        <f t="shared" si="615"/>
        <v>44444</v>
      </c>
    </row>
    <row r="291" spans="1:40" ht="15.75" hidden="1" thickBot="1">
      <c r="A291" s="7"/>
      <c r="C291" s="809" t="s">
        <v>282</v>
      </c>
      <c r="D291" s="810"/>
      <c r="E291" s="811"/>
      <c r="F291" s="810"/>
      <c r="G291" s="811"/>
      <c r="H291" s="810"/>
      <c r="I291" s="811"/>
      <c r="J291" s="812"/>
      <c r="K291" s="813"/>
      <c r="L291" s="812"/>
      <c r="M291" s="813"/>
      <c r="N291" s="812"/>
      <c r="O291" s="814">
        <f>SUM(O284:O290)</f>
        <v>77925.33</v>
      </c>
      <c r="P291" s="812"/>
      <c r="Q291" s="814">
        <f>SUM(Q284:Q290)</f>
        <v>96262.489999999991</v>
      </c>
      <c r="R291" s="815"/>
      <c r="S291" s="816">
        <f>SUM(S284:S290)</f>
        <v>98523.72</v>
      </c>
      <c r="T291" s="815"/>
      <c r="U291" s="816">
        <f>SUM(U284:U290)</f>
        <v>92273.14</v>
      </c>
      <c r="V291" s="815"/>
      <c r="W291" s="816">
        <f>SUM(W284:W290)</f>
        <v>96993.680000000008</v>
      </c>
      <c r="X291" s="815"/>
      <c r="Y291" s="816">
        <f>SUM(Y284:Y290)</f>
        <v>103293.23999999999</v>
      </c>
      <c r="Z291" s="815"/>
      <c r="AA291" s="816">
        <f>SUM(AA284:AA290)</f>
        <v>98905.52</v>
      </c>
      <c r="AB291" s="815"/>
      <c r="AC291" s="816">
        <f>SUM(AC284:AC290)</f>
        <v>0</v>
      </c>
      <c r="AD291" s="758"/>
      <c r="AE291" s="203"/>
      <c r="AF291" s="203"/>
      <c r="AG291" s="203"/>
      <c r="AH291" s="203"/>
      <c r="AI291" s="203"/>
      <c r="AJ291" s="641">
        <f>SUM(AJ284:AJ290)</f>
        <v>0</v>
      </c>
      <c r="AK291" s="642">
        <f>SUM(AK284:AK290)</f>
        <v>0</v>
      </c>
      <c r="AL291" s="642">
        <f>SUM(AL284:AL290)</f>
        <v>0</v>
      </c>
      <c r="AM291" s="643">
        <f>SUM(AM284:AM290)</f>
        <v>0</v>
      </c>
    </row>
    <row r="292" spans="1:40" ht="15.75" hidden="1" thickBot="1">
      <c r="A292" s="5">
        <v>9</v>
      </c>
      <c r="B292" s="16">
        <v>3</v>
      </c>
      <c r="C292" s="16" t="s">
        <v>103</v>
      </c>
      <c r="D292" s="699">
        <v>39699</v>
      </c>
      <c r="E292" s="695">
        <v>10745.18</v>
      </c>
      <c r="F292" s="694">
        <v>40063</v>
      </c>
      <c r="G292" s="695">
        <v>6022.69</v>
      </c>
      <c r="H292" s="694">
        <v>40427</v>
      </c>
      <c r="I292" s="695">
        <v>8212.24</v>
      </c>
      <c r="J292" s="701">
        <v>40791</v>
      </c>
      <c r="K292" s="695">
        <v>7715.9</v>
      </c>
      <c r="L292" s="683">
        <v>41162</v>
      </c>
      <c r="M292" s="707">
        <v>8650.7000000000007</v>
      </c>
      <c r="N292" s="683">
        <v>41526</v>
      </c>
      <c r="O292" s="690">
        <v>7878.12</v>
      </c>
      <c r="P292" s="689">
        <v>41890</v>
      </c>
      <c r="Q292" s="686">
        <v>6518.58</v>
      </c>
      <c r="R292" s="635">
        <f>R290+1</f>
        <v>42254</v>
      </c>
      <c r="S292" s="776">
        <v>6772.56</v>
      </c>
      <c r="T292" s="635">
        <f>T290+1</f>
        <v>42625</v>
      </c>
      <c r="U292" s="776">
        <v>10714.2</v>
      </c>
      <c r="V292" s="635">
        <f>V290+1</f>
        <v>42989</v>
      </c>
      <c r="W292" s="776">
        <v>10119.700000000001</v>
      </c>
      <c r="X292" s="635">
        <f>X290+1</f>
        <v>43353</v>
      </c>
      <c r="Y292" s="776">
        <v>10849.45</v>
      </c>
      <c r="Z292" s="635">
        <f>Z290+1</f>
        <v>43717</v>
      </c>
      <c r="AA292" s="776">
        <v>8755.02</v>
      </c>
      <c r="AB292" s="635">
        <f>AB290+1</f>
        <v>44081</v>
      </c>
      <c r="AC292" s="772"/>
      <c r="AD292" s="863" t="s">
        <v>146</v>
      </c>
      <c r="AJ292" s="751"/>
      <c r="AK292" s="752"/>
      <c r="AL292" s="752"/>
      <c r="AM292" s="762">
        <f t="shared" ref="AM292:AM298" si="628">SUM(AJ292:AL292)</f>
        <v>0</v>
      </c>
      <c r="AN292" s="763">
        <f>AN290+1</f>
        <v>44445</v>
      </c>
    </row>
    <row r="293" spans="1:40" hidden="1">
      <c r="A293" s="7">
        <v>9</v>
      </c>
      <c r="B293">
        <v>3</v>
      </c>
      <c r="C293" t="s">
        <v>104</v>
      </c>
      <c r="D293" s="694">
        <v>39700</v>
      </c>
      <c r="E293" s="695">
        <v>12553.62</v>
      </c>
      <c r="F293" s="697">
        <v>40064</v>
      </c>
      <c r="G293" s="695">
        <v>6757.12</v>
      </c>
      <c r="H293" s="697">
        <v>40428</v>
      </c>
      <c r="I293" s="695">
        <v>6569.48</v>
      </c>
      <c r="J293" s="683">
        <v>40792</v>
      </c>
      <c r="K293" s="695">
        <v>7311.1</v>
      </c>
      <c r="L293" s="683">
        <v>41163</v>
      </c>
      <c r="M293" s="707">
        <v>13016.9</v>
      </c>
      <c r="N293" s="683">
        <v>41527</v>
      </c>
      <c r="O293" s="690">
        <v>10745.49</v>
      </c>
      <c r="P293" s="689">
        <v>41891</v>
      </c>
      <c r="Q293" s="686">
        <v>13335.34</v>
      </c>
      <c r="R293" s="689">
        <f>R292+1</f>
        <v>42255</v>
      </c>
      <c r="S293" s="777">
        <v>9447.75</v>
      </c>
      <c r="T293" s="689">
        <f>T292+1</f>
        <v>42626</v>
      </c>
      <c r="U293" s="827">
        <v>11758.5</v>
      </c>
      <c r="V293" s="689">
        <f>V292+1</f>
        <v>42990</v>
      </c>
      <c r="W293" s="827">
        <v>12050.95</v>
      </c>
      <c r="X293" s="689">
        <f>X292+1</f>
        <v>43354</v>
      </c>
      <c r="Y293" s="827">
        <v>9300.7199999999993</v>
      </c>
      <c r="Z293" s="689">
        <f>Z292+1</f>
        <v>43718</v>
      </c>
      <c r="AA293" s="827">
        <v>16035.64</v>
      </c>
      <c r="AB293" s="689">
        <f>AB292+1</f>
        <v>44082</v>
      </c>
      <c r="AC293" s="818"/>
      <c r="AD293" s="864"/>
      <c r="AJ293" s="751"/>
      <c r="AK293" s="752"/>
      <c r="AL293" s="753"/>
      <c r="AM293" s="762">
        <f t="shared" si="628"/>
        <v>0</v>
      </c>
      <c r="AN293" s="763">
        <f>AN292+1</f>
        <v>44446</v>
      </c>
    </row>
    <row r="294" spans="1:40" hidden="1">
      <c r="A294" s="7">
        <v>9</v>
      </c>
      <c r="B294">
        <v>3</v>
      </c>
      <c r="C294" t="s">
        <v>105</v>
      </c>
      <c r="D294" s="697">
        <v>39701</v>
      </c>
      <c r="E294" s="695">
        <v>17148.13</v>
      </c>
      <c r="F294" s="697">
        <v>40065</v>
      </c>
      <c r="G294" s="695">
        <v>12933.18</v>
      </c>
      <c r="H294" s="697">
        <v>40429</v>
      </c>
      <c r="I294" s="695">
        <v>13535.86</v>
      </c>
      <c r="J294" s="683">
        <v>40793</v>
      </c>
      <c r="K294" s="695">
        <v>10355.27</v>
      </c>
      <c r="L294" s="683">
        <v>41164</v>
      </c>
      <c r="M294" s="707">
        <v>11072.8</v>
      </c>
      <c r="N294" s="683">
        <v>41528</v>
      </c>
      <c r="O294" s="690">
        <v>14894.61</v>
      </c>
      <c r="P294" s="689">
        <v>41892</v>
      </c>
      <c r="Q294" s="686">
        <v>14958.39</v>
      </c>
      <c r="R294" s="689">
        <f t="shared" ref="R294:T298" si="629">R293+1</f>
        <v>42256</v>
      </c>
      <c r="S294" s="777">
        <v>13583.2</v>
      </c>
      <c r="T294" s="689">
        <f t="shared" si="629"/>
        <v>42627</v>
      </c>
      <c r="U294" s="777">
        <v>13611.96</v>
      </c>
      <c r="V294" s="689">
        <f t="shared" ref="V294:Z294" si="630">V293+1</f>
        <v>42991</v>
      </c>
      <c r="W294" s="777">
        <v>18518.02</v>
      </c>
      <c r="X294" s="689">
        <f t="shared" ref="X294" si="631">X293+1</f>
        <v>43355</v>
      </c>
      <c r="Y294" s="777">
        <v>15615.01</v>
      </c>
      <c r="Z294" s="689">
        <f t="shared" si="630"/>
        <v>43719</v>
      </c>
      <c r="AA294" s="777">
        <v>17324.04</v>
      </c>
      <c r="AB294" s="689">
        <f t="shared" ref="AB294" si="632">AB293+1</f>
        <v>44083</v>
      </c>
      <c r="AC294" s="774"/>
      <c r="AD294" s="864"/>
      <c r="AJ294" s="751"/>
      <c r="AK294" s="752"/>
      <c r="AL294" s="753"/>
      <c r="AM294" s="762">
        <f t="shared" si="628"/>
        <v>0</v>
      </c>
      <c r="AN294" s="763">
        <f t="shared" ref="AN294:AN298" si="633">AN293+1</f>
        <v>44447</v>
      </c>
    </row>
    <row r="295" spans="1:40" hidden="1">
      <c r="A295" s="7">
        <v>9</v>
      </c>
      <c r="B295">
        <v>3</v>
      </c>
      <c r="C295" t="s">
        <v>106</v>
      </c>
      <c r="D295" s="697">
        <v>39702</v>
      </c>
      <c r="E295" s="695">
        <v>15983.6</v>
      </c>
      <c r="F295" s="697">
        <v>40066</v>
      </c>
      <c r="G295" s="695">
        <v>10597.97</v>
      </c>
      <c r="H295" s="697">
        <v>40430</v>
      </c>
      <c r="I295" s="695">
        <v>10014.129999999999</v>
      </c>
      <c r="J295" s="683">
        <v>40794</v>
      </c>
      <c r="K295" s="695">
        <v>9560.2999999999993</v>
      </c>
      <c r="L295" s="683">
        <v>41165</v>
      </c>
      <c r="M295" s="707">
        <v>10587.15</v>
      </c>
      <c r="N295" s="683">
        <v>41529</v>
      </c>
      <c r="O295" s="690">
        <v>13808.64</v>
      </c>
      <c r="P295" s="689">
        <v>41893</v>
      </c>
      <c r="Q295" s="686">
        <v>15265.83</v>
      </c>
      <c r="R295" s="689">
        <f t="shared" si="629"/>
        <v>42257</v>
      </c>
      <c r="S295" s="777">
        <v>13673.95</v>
      </c>
      <c r="T295" s="689">
        <f t="shared" si="629"/>
        <v>42628</v>
      </c>
      <c r="U295" s="777">
        <v>15867.16</v>
      </c>
      <c r="V295" s="689">
        <f t="shared" ref="V295:Z295" si="634">V294+1</f>
        <v>42992</v>
      </c>
      <c r="W295" s="777">
        <v>11991.75</v>
      </c>
      <c r="X295" s="689">
        <f t="shared" ref="X295" si="635">X294+1</f>
        <v>43356</v>
      </c>
      <c r="Y295" s="777">
        <v>14913.74</v>
      </c>
      <c r="Z295" s="689">
        <f t="shared" si="634"/>
        <v>43720</v>
      </c>
      <c r="AA295" s="777">
        <v>18195.95</v>
      </c>
      <c r="AB295" s="689">
        <f t="shared" ref="AB295" si="636">AB294+1</f>
        <v>44084</v>
      </c>
      <c r="AC295" s="774"/>
      <c r="AD295" s="864"/>
      <c r="AJ295" s="751"/>
      <c r="AK295" s="752"/>
      <c r="AL295" s="753"/>
      <c r="AM295" s="762">
        <f t="shared" si="628"/>
        <v>0</v>
      </c>
      <c r="AN295" s="763">
        <f t="shared" si="633"/>
        <v>44448</v>
      </c>
    </row>
    <row r="296" spans="1:40" hidden="1">
      <c r="A296" s="7">
        <v>9</v>
      </c>
      <c r="B296">
        <v>3</v>
      </c>
      <c r="C296" t="s">
        <v>107</v>
      </c>
      <c r="D296" s="697">
        <v>39703</v>
      </c>
      <c r="E296" s="695">
        <v>19658.669999999998</v>
      </c>
      <c r="F296" s="697">
        <v>40067</v>
      </c>
      <c r="G296" s="695">
        <v>15960.33</v>
      </c>
      <c r="H296" s="697">
        <v>40431</v>
      </c>
      <c r="I296" s="695">
        <v>15832.73</v>
      </c>
      <c r="J296" s="683">
        <v>40795</v>
      </c>
      <c r="K296" s="695">
        <v>14638.65</v>
      </c>
      <c r="L296" s="683">
        <v>41166</v>
      </c>
      <c r="M296" s="707">
        <v>16125.4</v>
      </c>
      <c r="N296" s="683">
        <v>41530</v>
      </c>
      <c r="O296" s="690">
        <v>20632.45</v>
      </c>
      <c r="P296" s="689">
        <v>41894</v>
      </c>
      <c r="Q296" s="686">
        <v>22972.89</v>
      </c>
      <c r="R296" s="689">
        <f t="shared" si="629"/>
        <v>42258</v>
      </c>
      <c r="S296" s="777">
        <v>20388.75</v>
      </c>
      <c r="T296" s="689">
        <f t="shared" si="629"/>
        <v>42629</v>
      </c>
      <c r="U296" s="777">
        <v>15980.75</v>
      </c>
      <c r="V296" s="689">
        <f t="shared" ref="V296:Z296" si="637">V295+1</f>
        <v>42993</v>
      </c>
      <c r="W296" s="777">
        <v>19945.02</v>
      </c>
      <c r="X296" s="689">
        <f t="shared" ref="X296" si="638">X295+1</f>
        <v>43357</v>
      </c>
      <c r="Y296" s="777">
        <v>16820.330000000002</v>
      </c>
      <c r="Z296" s="689">
        <f t="shared" si="637"/>
        <v>43721</v>
      </c>
      <c r="AA296" s="777">
        <v>18884.740000000002</v>
      </c>
      <c r="AB296" s="689">
        <f t="shared" ref="AB296" si="639">AB295+1</f>
        <v>44085</v>
      </c>
      <c r="AC296" s="774"/>
      <c r="AD296" s="864"/>
      <c r="AJ296" s="751"/>
      <c r="AK296" s="752"/>
      <c r="AL296" s="753"/>
      <c r="AM296" s="762">
        <f t="shared" si="628"/>
        <v>0</v>
      </c>
      <c r="AN296" s="763">
        <f t="shared" si="633"/>
        <v>44449</v>
      </c>
    </row>
    <row r="297" spans="1:40" hidden="1">
      <c r="A297" s="7">
        <v>9</v>
      </c>
      <c r="B297">
        <v>3</v>
      </c>
      <c r="C297" t="s">
        <v>108</v>
      </c>
      <c r="D297" s="697">
        <v>39704</v>
      </c>
      <c r="E297" s="695">
        <v>20705.02</v>
      </c>
      <c r="F297" s="697">
        <v>40068</v>
      </c>
      <c r="G297" s="695">
        <v>18023.77</v>
      </c>
      <c r="H297" s="697">
        <v>40432</v>
      </c>
      <c r="I297" s="695">
        <v>15739.08</v>
      </c>
      <c r="J297" s="683">
        <v>40796</v>
      </c>
      <c r="K297" s="695">
        <v>16717.099999999999</v>
      </c>
      <c r="L297" s="683">
        <v>41167</v>
      </c>
      <c r="M297" s="707">
        <v>17919.8</v>
      </c>
      <c r="N297" s="683">
        <v>41531</v>
      </c>
      <c r="O297" s="690">
        <v>18693.59</v>
      </c>
      <c r="P297" s="689">
        <v>41895</v>
      </c>
      <c r="Q297" s="686">
        <v>23716.98</v>
      </c>
      <c r="R297" s="689">
        <f t="shared" si="629"/>
        <v>42259</v>
      </c>
      <c r="S297" s="777">
        <v>21352.47</v>
      </c>
      <c r="T297" s="689">
        <f t="shared" si="629"/>
        <v>42630</v>
      </c>
      <c r="U297" s="777">
        <v>19100.21</v>
      </c>
      <c r="V297" s="689">
        <f t="shared" ref="V297:Z297" si="640">V296+1</f>
        <v>42994</v>
      </c>
      <c r="W297" s="777">
        <v>23681.21</v>
      </c>
      <c r="X297" s="689">
        <f t="shared" ref="X297" si="641">X296+1</f>
        <v>43358</v>
      </c>
      <c r="Y297" s="777">
        <v>17325.8</v>
      </c>
      <c r="Z297" s="689">
        <f t="shared" si="640"/>
        <v>43722</v>
      </c>
      <c r="AA297" s="777">
        <v>19025.77</v>
      </c>
      <c r="AB297" s="689">
        <f t="shared" ref="AB297" si="642">AB296+1</f>
        <v>44086</v>
      </c>
      <c r="AC297" s="774"/>
      <c r="AD297" s="864"/>
      <c r="AJ297" s="751"/>
      <c r="AK297" s="752"/>
      <c r="AL297" s="753"/>
      <c r="AM297" s="762">
        <f t="shared" si="628"/>
        <v>0</v>
      </c>
      <c r="AN297" s="763">
        <f t="shared" si="633"/>
        <v>44450</v>
      </c>
    </row>
    <row r="298" spans="1:40" ht="15.75" hidden="1" thickBot="1">
      <c r="A298" s="12">
        <v>9</v>
      </c>
      <c r="B298" s="14">
        <v>3</v>
      </c>
      <c r="C298" s="14" t="s">
        <v>109</v>
      </c>
      <c r="D298" s="697">
        <v>39705</v>
      </c>
      <c r="E298" s="695">
        <v>6108.93</v>
      </c>
      <c r="F298" s="699">
        <v>40069</v>
      </c>
      <c r="G298" s="695">
        <v>4366.1099999999997</v>
      </c>
      <c r="H298" s="699">
        <v>40433</v>
      </c>
      <c r="I298" s="695">
        <v>7284.07</v>
      </c>
      <c r="J298" s="700">
        <v>40797</v>
      </c>
      <c r="K298" s="695">
        <v>5068.25</v>
      </c>
      <c r="L298" s="683">
        <v>41168</v>
      </c>
      <c r="M298" s="707">
        <v>8487.2999999999993</v>
      </c>
      <c r="N298" s="683">
        <v>41532</v>
      </c>
      <c r="O298" s="690">
        <v>11978.72</v>
      </c>
      <c r="P298" s="689">
        <v>41896</v>
      </c>
      <c r="Q298" s="686">
        <v>9185.24</v>
      </c>
      <c r="R298" s="761">
        <f t="shared" si="629"/>
        <v>42260</v>
      </c>
      <c r="S298" s="778">
        <v>13583.85</v>
      </c>
      <c r="T298" s="761">
        <f t="shared" si="629"/>
        <v>42631</v>
      </c>
      <c r="U298" s="817">
        <v>9894.85</v>
      </c>
      <c r="V298" s="761">
        <f t="shared" ref="V298:Z298" si="643">V297+1</f>
        <v>42995</v>
      </c>
      <c r="W298" s="817">
        <v>13432.45</v>
      </c>
      <c r="X298" s="761">
        <f t="shared" ref="X298" si="644">X297+1</f>
        <v>43359</v>
      </c>
      <c r="Y298" s="817">
        <v>11367.55</v>
      </c>
      <c r="Z298" s="761">
        <f t="shared" si="643"/>
        <v>43723</v>
      </c>
      <c r="AA298" s="817">
        <v>15033.99</v>
      </c>
      <c r="AB298" s="761">
        <f t="shared" ref="AB298" si="645">AB297+1</f>
        <v>44087</v>
      </c>
      <c r="AC298" s="775"/>
      <c r="AD298" s="865"/>
      <c r="AE298" s="203">
        <f>SUM(E292:E298)</f>
        <v>102903.15000000002</v>
      </c>
      <c r="AF298" s="203">
        <f>SUM(G292:G298)</f>
        <v>74661.17</v>
      </c>
      <c r="AG298" s="203">
        <f>SUM(I292:I298)</f>
        <v>77187.59</v>
      </c>
      <c r="AH298" s="203">
        <f>SUM(K292:K298)</f>
        <v>71366.570000000007</v>
      </c>
      <c r="AI298" s="203">
        <f>SUM(M292:M298)</f>
        <v>85860.05</v>
      </c>
      <c r="AJ298" s="751"/>
      <c r="AK298" s="752"/>
      <c r="AL298" s="754"/>
      <c r="AM298" s="762">
        <f t="shared" si="628"/>
        <v>0</v>
      </c>
      <c r="AN298" s="763">
        <f t="shared" si="633"/>
        <v>44451</v>
      </c>
    </row>
    <row r="299" spans="1:40" ht="15.75" hidden="1" thickBot="1">
      <c r="A299" s="7"/>
      <c r="C299" s="809" t="s">
        <v>282</v>
      </c>
      <c r="D299" s="810"/>
      <c r="E299" s="811"/>
      <c r="F299" s="810"/>
      <c r="G299" s="811"/>
      <c r="H299" s="810"/>
      <c r="I299" s="811"/>
      <c r="J299" s="812"/>
      <c r="K299" s="813"/>
      <c r="L299" s="812"/>
      <c r="M299" s="813"/>
      <c r="N299" s="812"/>
      <c r="O299" s="814">
        <f>SUM(O292:O298)</f>
        <v>98631.62</v>
      </c>
      <c r="P299" s="812"/>
      <c r="Q299" s="814">
        <f>SUM(Q292:Q298)</f>
        <v>105953.25</v>
      </c>
      <c r="R299" s="815"/>
      <c r="S299" s="816">
        <f>SUM(S292:S298)</f>
        <v>98802.530000000013</v>
      </c>
      <c r="T299" s="815"/>
      <c r="U299" s="816">
        <f>SUM(U292:U298)</f>
        <v>96927.63</v>
      </c>
      <c r="V299" s="815"/>
      <c r="W299" s="816">
        <f>SUM(W292:W298)</f>
        <v>109739.09999999999</v>
      </c>
      <c r="X299" s="815"/>
      <c r="Y299" s="816">
        <f>SUM(Y292:Y298)</f>
        <v>96192.6</v>
      </c>
      <c r="Z299" s="815"/>
      <c r="AA299" s="816">
        <f>SUM(AA292:AA298)</f>
        <v>113255.15000000001</v>
      </c>
      <c r="AB299" s="815"/>
      <c r="AC299" s="816">
        <f>SUM(AC292:AC298)</f>
        <v>0</v>
      </c>
      <c r="AD299" s="758"/>
      <c r="AE299" s="203"/>
      <c r="AF299" s="203"/>
      <c r="AG299" s="203"/>
      <c r="AH299" s="203"/>
      <c r="AI299" s="203"/>
      <c r="AJ299" s="641">
        <f>SUM(AJ292:AJ298)</f>
        <v>0</v>
      </c>
      <c r="AK299" s="642">
        <f>SUM(AK292:AK298)</f>
        <v>0</v>
      </c>
      <c r="AL299" s="642">
        <f>SUM(AL292:AL298)</f>
        <v>0</v>
      </c>
      <c r="AM299" s="643">
        <f>SUM(AM292:AM298)</f>
        <v>0</v>
      </c>
    </row>
    <row r="300" spans="1:40" ht="15.75" hidden="1" thickBot="1">
      <c r="A300" s="5">
        <v>9</v>
      </c>
      <c r="B300" s="16">
        <v>4</v>
      </c>
      <c r="C300" s="16" t="s">
        <v>103</v>
      </c>
      <c r="D300" s="699">
        <v>39706</v>
      </c>
      <c r="E300" s="695">
        <v>7089.07</v>
      </c>
      <c r="F300" s="694">
        <v>40070</v>
      </c>
      <c r="G300" s="695">
        <v>6608.98</v>
      </c>
      <c r="H300" s="694">
        <v>40434</v>
      </c>
      <c r="I300" s="695">
        <v>5470.56</v>
      </c>
      <c r="J300" s="701">
        <v>40798</v>
      </c>
      <c r="K300" s="695">
        <v>7053.76</v>
      </c>
      <c r="L300" s="683">
        <v>41169</v>
      </c>
      <c r="M300" s="707">
        <v>7567.26</v>
      </c>
      <c r="N300" s="683">
        <v>41533</v>
      </c>
      <c r="O300" s="690">
        <v>9080.7000000000007</v>
      </c>
      <c r="P300" s="689">
        <v>41897</v>
      </c>
      <c r="Q300" s="686">
        <v>11600.34</v>
      </c>
      <c r="R300" s="635">
        <f>R298+1</f>
        <v>42261</v>
      </c>
      <c r="S300" s="776">
        <v>10363.219999999999</v>
      </c>
      <c r="T300" s="635">
        <f>T298+1</f>
        <v>42632</v>
      </c>
      <c r="U300" s="776">
        <v>9595.75</v>
      </c>
      <c r="V300" s="635">
        <f>V298+1</f>
        <v>42996</v>
      </c>
      <c r="W300" s="776">
        <v>11016</v>
      </c>
      <c r="X300" s="635">
        <f>X298+1</f>
        <v>43360</v>
      </c>
      <c r="Y300" s="776">
        <v>9536.9500000000007</v>
      </c>
      <c r="Z300" s="635">
        <f>Z298+1</f>
        <v>43724</v>
      </c>
      <c r="AA300" s="776">
        <v>8974.23</v>
      </c>
      <c r="AB300" s="635">
        <f>AB298+1</f>
        <v>44088</v>
      </c>
      <c r="AC300" s="772"/>
      <c r="AD300" s="863" t="s">
        <v>147</v>
      </c>
      <c r="AJ300" s="751"/>
      <c r="AK300" s="752"/>
      <c r="AL300" s="752"/>
      <c r="AM300" s="762">
        <f t="shared" ref="AM300:AM306" si="646">SUM(AJ300:AL300)</f>
        <v>0</v>
      </c>
      <c r="AN300" s="763">
        <f>AN298+1</f>
        <v>44452</v>
      </c>
    </row>
    <row r="301" spans="1:40" hidden="1">
      <c r="A301" s="7">
        <v>9</v>
      </c>
      <c r="B301">
        <v>4</v>
      </c>
      <c r="C301" t="s">
        <v>104</v>
      </c>
      <c r="D301" s="694">
        <v>39707</v>
      </c>
      <c r="E301" s="695">
        <v>13514.97</v>
      </c>
      <c r="F301" s="697">
        <v>40071</v>
      </c>
      <c r="G301" s="695">
        <v>12765.93</v>
      </c>
      <c r="H301" s="697">
        <v>40435</v>
      </c>
      <c r="I301" s="695">
        <v>12001.69</v>
      </c>
      <c r="J301" s="683">
        <v>40799</v>
      </c>
      <c r="K301" s="695">
        <v>9915.52</v>
      </c>
      <c r="L301" s="683">
        <v>41170</v>
      </c>
      <c r="M301" s="707">
        <v>9316.7999999999993</v>
      </c>
      <c r="N301" s="683">
        <v>41534</v>
      </c>
      <c r="O301" s="690">
        <v>16222.44</v>
      </c>
      <c r="P301" s="689">
        <v>41898</v>
      </c>
      <c r="Q301" s="686">
        <v>11161.8</v>
      </c>
      <c r="R301" s="689">
        <f>R300+1</f>
        <v>42262</v>
      </c>
      <c r="S301" s="777">
        <v>14791.4</v>
      </c>
      <c r="T301" s="689">
        <f>T300+1</f>
        <v>42633</v>
      </c>
      <c r="U301" s="827">
        <v>13304.8</v>
      </c>
      <c r="V301" s="689">
        <f>V300+1</f>
        <v>42997</v>
      </c>
      <c r="W301" s="827">
        <v>13443.25</v>
      </c>
      <c r="X301" s="689">
        <f>X300+1</f>
        <v>43361</v>
      </c>
      <c r="Y301" s="827">
        <v>11355.56</v>
      </c>
      <c r="Z301" s="689">
        <f>Z300+1</f>
        <v>43725</v>
      </c>
      <c r="AA301" s="827">
        <v>11964.4</v>
      </c>
      <c r="AB301" s="689">
        <f>AB300+1</f>
        <v>44089</v>
      </c>
      <c r="AC301" s="818"/>
      <c r="AD301" s="864"/>
      <c r="AJ301" s="751"/>
      <c r="AK301" s="752"/>
      <c r="AL301" s="753"/>
      <c r="AM301" s="762">
        <f t="shared" si="646"/>
        <v>0</v>
      </c>
      <c r="AN301" s="763">
        <f>AN300+1</f>
        <v>44453</v>
      </c>
    </row>
    <row r="302" spans="1:40" hidden="1">
      <c r="A302" s="7">
        <v>9</v>
      </c>
      <c r="B302">
        <v>4</v>
      </c>
      <c r="C302" t="s">
        <v>105</v>
      </c>
      <c r="D302" s="697">
        <v>39708</v>
      </c>
      <c r="E302" s="695">
        <v>13858.14</v>
      </c>
      <c r="F302" s="697">
        <v>40072</v>
      </c>
      <c r="G302" s="695">
        <v>16158.92</v>
      </c>
      <c r="H302" s="711">
        <v>40436</v>
      </c>
      <c r="I302"/>
      <c r="J302" s="683">
        <v>40800</v>
      </c>
      <c r="K302" s="695">
        <v>15962.72</v>
      </c>
      <c r="L302" s="683">
        <v>41171</v>
      </c>
      <c r="M302" s="707">
        <v>14579.85</v>
      </c>
      <c r="N302" s="683">
        <v>41535</v>
      </c>
      <c r="O302" s="690">
        <v>11588.18</v>
      </c>
      <c r="P302" s="689">
        <v>41899</v>
      </c>
      <c r="Q302" s="686">
        <v>15673.8</v>
      </c>
      <c r="R302" s="689">
        <f t="shared" ref="R302:T306" si="647">R301+1</f>
        <v>42263</v>
      </c>
      <c r="S302" s="777">
        <v>12266.6</v>
      </c>
      <c r="T302" s="689">
        <f t="shared" si="647"/>
        <v>42634</v>
      </c>
      <c r="U302" s="777">
        <v>13427.85</v>
      </c>
      <c r="V302" s="689">
        <f t="shared" ref="V302:Z302" si="648">V301+1</f>
        <v>42998</v>
      </c>
      <c r="W302" s="777">
        <v>13426.15</v>
      </c>
      <c r="X302" s="689">
        <f t="shared" ref="X302" si="649">X301+1</f>
        <v>43362</v>
      </c>
      <c r="Y302" s="777">
        <v>13195.61</v>
      </c>
      <c r="Z302" s="689">
        <f t="shared" si="648"/>
        <v>43726</v>
      </c>
      <c r="AA302" s="777">
        <v>15902.29</v>
      </c>
      <c r="AB302" s="689">
        <f t="shared" ref="AB302" si="650">AB301+1</f>
        <v>44090</v>
      </c>
      <c r="AC302" s="774"/>
      <c r="AD302" s="864"/>
      <c r="AJ302" s="751"/>
      <c r="AK302" s="752"/>
      <c r="AL302" s="753"/>
      <c r="AM302" s="762">
        <f t="shared" si="646"/>
        <v>0</v>
      </c>
      <c r="AN302" s="763">
        <f t="shared" ref="AN302:AN306" si="651">AN301+1</f>
        <v>44454</v>
      </c>
    </row>
    <row r="303" spans="1:40" hidden="1">
      <c r="A303" s="7">
        <v>9</v>
      </c>
      <c r="B303">
        <v>4</v>
      </c>
      <c r="C303" t="s">
        <v>106</v>
      </c>
      <c r="D303" s="697">
        <v>39709</v>
      </c>
      <c r="E303" s="695">
        <v>13988.75</v>
      </c>
      <c r="F303" s="697">
        <v>40073</v>
      </c>
      <c r="G303" s="695">
        <v>13263.85</v>
      </c>
      <c r="H303" s="697">
        <v>40437</v>
      </c>
      <c r="I303" s="695">
        <v>11810.51</v>
      </c>
      <c r="J303" s="683">
        <v>40801</v>
      </c>
      <c r="K303" s="695">
        <v>10216.51</v>
      </c>
      <c r="L303" s="683">
        <v>41172</v>
      </c>
      <c r="M303" s="707">
        <v>10295.93</v>
      </c>
      <c r="N303" s="683">
        <v>41536</v>
      </c>
      <c r="O303" s="690">
        <v>9916.2000000000007</v>
      </c>
      <c r="P303" s="689">
        <v>41900</v>
      </c>
      <c r="Q303" s="686">
        <v>18335.98</v>
      </c>
      <c r="R303" s="689">
        <f t="shared" si="647"/>
        <v>42264</v>
      </c>
      <c r="S303" s="777">
        <v>14046.15</v>
      </c>
      <c r="T303" s="689">
        <f t="shared" si="647"/>
        <v>42635</v>
      </c>
      <c r="U303" s="777">
        <v>15223.05</v>
      </c>
      <c r="V303" s="689">
        <f t="shared" ref="V303:Z303" si="652">V302+1</f>
        <v>42999</v>
      </c>
      <c r="W303" s="777">
        <v>20465.91</v>
      </c>
      <c r="X303" s="689">
        <f t="shared" ref="X303" si="653">X302+1</f>
        <v>43363</v>
      </c>
      <c r="Y303" s="777">
        <v>13912.42</v>
      </c>
      <c r="Z303" s="689">
        <f t="shared" si="652"/>
        <v>43727</v>
      </c>
      <c r="AA303" s="777">
        <v>15771.15</v>
      </c>
      <c r="AB303" s="689">
        <f t="shared" ref="AB303" si="654">AB302+1</f>
        <v>44091</v>
      </c>
      <c r="AC303" s="774"/>
      <c r="AD303" s="864"/>
      <c r="AJ303" s="751"/>
      <c r="AK303" s="752"/>
      <c r="AL303" s="753"/>
      <c r="AM303" s="762">
        <f t="shared" si="646"/>
        <v>0</v>
      </c>
      <c r="AN303" s="763">
        <f t="shared" si="651"/>
        <v>44455</v>
      </c>
    </row>
    <row r="304" spans="1:40" hidden="1">
      <c r="A304" s="7">
        <v>9</v>
      </c>
      <c r="B304">
        <v>4</v>
      </c>
      <c r="C304" t="s">
        <v>107</v>
      </c>
      <c r="D304" s="697">
        <v>39710</v>
      </c>
      <c r="E304" s="695">
        <v>16859.11</v>
      </c>
      <c r="F304" s="697">
        <v>40074</v>
      </c>
      <c r="G304" s="695">
        <v>16751.59</v>
      </c>
      <c r="H304" s="697">
        <v>40438</v>
      </c>
      <c r="I304" s="695">
        <v>15752.41</v>
      </c>
      <c r="J304" s="683">
        <v>40802</v>
      </c>
      <c r="K304" s="695">
        <v>15558.22</v>
      </c>
      <c r="L304" s="683">
        <v>41173</v>
      </c>
      <c r="M304" s="707">
        <v>13758.86</v>
      </c>
      <c r="N304" s="683">
        <v>41537</v>
      </c>
      <c r="O304" s="690">
        <v>18877.849999999999</v>
      </c>
      <c r="P304" s="689">
        <v>41901</v>
      </c>
      <c r="Q304" s="686">
        <v>18560.59</v>
      </c>
      <c r="R304" s="689">
        <f t="shared" si="647"/>
        <v>42265</v>
      </c>
      <c r="S304" s="777">
        <v>19472.2</v>
      </c>
      <c r="T304" s="689">
        <f t="shared" si="647"/>
        <v>42636</v>
      </c>
      <c r="U304" s="777">
        <v>22363.52</v>
      </c>
      <c r="V304" s="689">
        <f t="shared" ref="V304:Z304" si="655">V303+1</f>
        <v>43000</v>
      </c>
      <c r="W304" s="777">
        <v>19159.400000000001</v>
      </c>
      <c r="X304" s="689">
        <f t="shared" ref="X304" si="656">X303+1</f>
        <v>43364</v>
      </c>
      <c r="Y304" s="777">
        <v>18386</v>
      </c>
      <c r="Z304" s="689">
        <f t="shared" si="655"/>
        <v>43728</v>
      </c>
      <c r="AA304" s="777">
        <v>20157.48</v>
      </c>
      <c r="AB304" s="689">
        <f t="shared" ref="AB304" si="657">AB303+1</f>
        <v>44092</v>
      </c>
      <c r="AC304" s="774"/>
      <c r="AD304" s="864"/>
      <c r="AJ304" s="751"/>
      <c r="AK304" s="752"/>
      <c r="AL304" s="753"/>
      <c r="AM304" s="762">
        <f t="shared" si="646"/>
        <v>0</v>
      </c>
      <c r="AN304" s="763">
        <f t="shared" si="651"/>
        <v>44456</v>
      </c>
    </row>
    <row r="305" spans="1:40" hidden="1">
      <c r="A305" s="7">
        <v>9</v>
      </c>
      <c r="B305">
        <v>4</v>
      </c>
      <c r="C305" t="s">
        <v>108</v>
      </c>
      <c r="D305" s="697">
        <v>39711</v>
      </c>
      <c r="E305" s="695">
        <v>18893.89</v>
      </c>
      <c r="F305" s="697">
        <v>40075</v>
      </c>
      <c r="G305" s="695">
        <v>15629.39</v>
      </c>
      <c r="H305" s="697">
        <v>40439</v>
      </c>
      <c r="I305" s="695">
        <v>12740.81</v>
      </c>
      <c r="J305" s="683">
        <v>40803</v>
      </c>
      <c r="K305" s="695">
        <v>17793.740000000002</v>
      </c>
      <c r="L305" s="683">
        <v>41174</v>
      </c>
      <c r="M305" s="707">
        <v>15214</v>
      </c>
      <c r="N305" s="683">
        <v>41538</v>
      </c>
      <c r="O305" s="690">
        <v>16922.55</v>
      </c>
      <c r="P305" s="689">
        <v>41902</v>
      </c>
      <c r="Q305" s="686">
        <v>18544.330000000002</v>
      </c>
      <c r="R305" s="689">
        <f t="shared" si="647"/>
        <v>42266</v>
      </c>
      <c r="S305" s="777">
        <v>19309.3</v>
      </c>
      <c r="T305" s="689">
        <f t="shared" si="647"/>
        <v>42637</v>
      </c>
      <c r="U305" s="777">
        <v>22690.45</v>
      </c>
      <c r="V305" s="689">
        <f t="shared" ref="V305:Z305" si="658">V304+1</f>
        <v>43001</v>
      </c>
      <c r="W305" s="777">
        <v>18788.91</v>
      </c>
      <c r="X305" s="689">
        <f t="shared" ref="X305" si="659">X304+1</f>
        <v>43365</v>
      </c>
      <c r="Y305" s="777">
        <v>16709.05</v>
      </c>
      <c r="Z305" s="689">
        <f t="shared" si="658"/>
        <v>43729</v>
      </c>
      <c r="AA305" s="777">
        <v>19589.27</v>
      </c>
      <c r="AB305" s="689">
        <f t="shared" ref="AB305" si="660">AB304+1</f>
        <v>44093</v>
      </c>
      <c r="AC305" s="774"/>
      <c r="AD305" s="864"/>
      <c r="AJ305" s="751"/>
      <c r="AK305" s="752"/>
      <c r="AL305" s="753"/>
      <c r="AM305" s="762">
        <f t="shared" si="646"/>
        <v>0</v>
      </c>
      <c r="AN305" s="763">
        <f t="shared" si="651"/>
        <v>44457</v>
      </c>
    </row>
    <row r="306" spans="1:40" ht="15.75" hidden="1" thickBot="1">
      <c r="A306" s="7">
        <v>9</v>
      </c>
      <c r="B306">
        <v>4</v>
      </c>
      <c r="C306" t="s">
        <v>109</v>
      </c>
      <c r="D306" s="697">
        <v>39712</v>
      </c>
      <c r="E306" s="695">
        <v>3860.7</v>
      </c>
      <c r="F306" s="708">
        <v>40076</v>
      </c>
      <c r="G306" s="695">
        <v>5212.24</v>
      </c>
      <c r="H306" s="708">
        <v>40440</v>
      </c>
      <c r="I306" s="695">
        <v>2994.95</v>
      </c>
      <c r="J306" s="709">
        <v>40804</v>
      </c>
      <c r="K306" s="695">
        <v>4233.3500000000004</v>
      </c>
      <c r="L306" s="683">
        <v>41175</v>
      </c>
      <c r="M306" s="707">
        <v>6541</v>
      </c>
      <c r="N306" s="683">
        <v>41539</v>
      </c>
      <c r="O306" s="690">
        <v>6851.16</v>
      </c>
      <c r="P306" s="689">
        <v>41903</v>
      </c>
      <c r="Q306" s="686">
        <v>10383.44</v>
      </c>
      <c r="R306" s="761">
        <f t="shared" si="647"/>
        <v>42267</v>
      </c>
      <c r="S306" s="817">
        <v>12007</v>
      </c>
      <c r="T306" s="761">
        <f t="shared" si="647"/>
        <v>42638</v>
      </c>
      <c r="U306" s="817">
        <v>11847.85</v>
      </c>
      <c r="V306" s="761">
        <f t="shared" ref="V306:Z306" si="661">V305+1</f>
        <v>43002</v>
      </c>
      <c r="W306" s="817">
        <v>10644.65</v>
      </c>
      <c r="X306" s="761">
        <f t="shared" ref="X306" si="662">X305+1</f>
        <v>43366</v>
      </c>
      <c r="Y306" s="817">
        <v>11275.15</v>
      </c>
      <c r="Z306" s="761">
        <f t="shared" si="661"/>
        <v>43730</v>
      </c>
      <c r="AA306" s="817">
        <v>10877.71</v>
      </c>
      <c r="AB306" s="761">
        <f t="shared" ref="AB306" si="663">AB305+1</f>
        <v>44094</v>
      </c>
      <c r="AC306" s="775"/>
      <c r="AD306" s="866"/>
      <c r="AE306" s="203">
        <f>SUM(E300:E306)</f>
        <v>88064.62999999999</v>
      </c>
      <c r="AF306" s="203">
        <f>SUM(G300:G306)</f>
        <v>86390.900000000009</v>
      </c>
      <c r="AG306" s="203">
        <f>SUM(I300:I306)</f>
        <v>60770.929999999993</v>
      </c>
      <c r="AH306" s="203">
        <f>SUM(K300:K306)</f>
        <v>80733.820000000007</v>
      </c>
      <c r="AI306" s="203">
        <f>SUM(M300:M306)</f>
        <v>77273.7</v>
      </c>
      <c r="AJ306" s="751"/>
      <c r="AK306" s="752"/>
      <c r="AL306" s="754"/>
      <c r="AM306" s="762">
        <f t="shared" si="646"/>
        <v>0</v>
      </c>
      <c r="AN306" s="763">
        <f t="shared" si="651"/>
        <v>44458</v>
      </c>
    </row>
    <row r="307" spans="1:40" ht="15.75" hidden="1" thickBot="1">
      <c r="A307" s="7"/>
      <c r="C307" s="809" t="s">
        <v>282</v>
      </c>
      <c r="D307" s="810"/>
      <c r="E307" s="811"/>
      <c r="F307" s="810"/>
      <c r="G307" s="811"/>
      <c r="H307" s="810"/>
      <c r="I307" s="811"/>
      <c r="J307" s="812"/>
      <c r="K307" s="813"/>
      <c r="L307" s="812"/>
      <c r="M307" s="813"/>
      <c r="N307" s="812"/>
      <c r="O307" s="814">
        <f>SUM(O300:O306)</f>
        <v>89459.08</v>
      </c>
      <c r="P307" s="812"/>
      <c r="Q307" s="814">
        <f>SUM(Q300:Q306)</f>
        <v>104260.28</v>
      </c>
      <c r="R307" s="815"/>
      <c r="S307" s="816">
        <f>SUM(S300:S306)</f>
        <v>102255.87000000001</v>
      </c>
      <c r="T307" s="815"/>
      <c r="U307" s="816">
        <f>SUM(U300:U306)</f>
        <v>108453.27</v>
      </c>
      <c r="V307" s="815"/>
      <c r="W307" s="816">
        <f>SUM(W300:W306)</f>
        <v>106944.26999999999</v>
      </c>
      <c r="X307" s="815"/>
      <c r="Y307" s="816">
        <f>SUM(Y300:Y306)</f>
        <v>94370.74</v>
      </c>
      <c r="Z307" s="815"/>
      <c r="AA307" s="816">
        <f>SUM(AA300:AA306)</f>
        <v>103236.53</v>
      </c>
      <c r="AB307" s="815"/>
      <c r="AC307" s="816">
        <f>SUM(AC300:AC306)</f>
        <v>0</v>
      </c>
      <c r="AD307" s="758"/>
      <c r="AE307" s="203"/>
      <c r="AF307" s="203"/>
      <c r="AG307" s="203"/>
      <c r="AH307" s="203"/>
      <c r="AI307" s="203"/>
      <c r="AJ307" s="641">
        <f>SUM(AJ300:AJ306)</f>
        <v>0</v>
      </c>
      <c r="AK307" s="642">
        <f>SUM(AK300:AK306)</f>
        <v>0</v>
      </c>
      <c r="AL307" s="642">
        <f>SUM(AL300:AL306)</f>
        <v>0</v>
      </c>
      <c r="AM307" s="643">
        <f>SUM(AM300:AM306)</f>
        <v>0</v>
      </c>
    </row>
    <row r="308" spans="1:40" ht="15.75" hidden="1" thickBot="1">
      <c r="A308" s="5">
        <v>9</v>
      </c>
      <c r="B308" s="16">
        <v>5</v>
      </c>
      <c r="C308" s="16" t="s">
        <v>103</v>
      </c>
      <c r="D308" s="708">
        <v>39713</v>
      </c>
      <c r="E308" s="695">
        <v>7042.98</v>
      </c>
      <c r="F308" s="694">
        <v>40077</v>
      </c>
      <c r="G308" s="695">
        <v>8341.4599999999991</v>
      </c>
      <c r="H308" s="694">
        <v>40441</v>
      </c>
      <c r="I308" s="695">
        <v>9460.94</v>
      </c>
      <c r="J308" s="701">
        <v>40805</v>
      </c>
      <c r="K308" s="695">
        <v>8875.7999999999993</v>
      </c>
      <c r="L308" s="683">
        <v>41176</v>
      </c>
      <c r="M308" s="707">
        <v>6755.31</v>
      </c>
      <c r="N308" s="683">
        <v>41540</v>
      </c>
      <c r="O308" s="690">
        <v>10154.450000000001</v>
      </c>
      <c r="P308" s="689">
        <v>41904</v>
      </c>
      <c r="Q308" s="686">
        <v>11453.5</v>
      </c>
      <c r="R308" s="635">
        <f>R306+1</f>
        <v>42268</v>
      </c>
      <c r="S308" s="776">
        <v>6541.6</v>
      </c>
      <c r="T308" s="635">
        <f>T306+1</f>
        <v>42639</v>
      </c>
      <c r="U308" s="776">
        <v>10143.25</v>
      </c>
      <c r="V308" s="635">
        <f>V306+1</f>
        <v>43003</v>
      </c>
      <c r="W308" s="776">
        <v>9683.26</v>
      </c>
      <c r="X308" s="635">
        <f>X306+1</f>
        <v>43367</v>
      </c>
      <c r="Y308" s="776">
        <v>6769.4</v>
      </c>
      <c r="Z308" s="635">
        <f>Z306+1</f>
        <v>43731</v>
      </c>
      <c r="AA308" s="776">
        <v>9846.34</v>
      </c>
      <c r="AB308" s="635">
        <f>AB306+1</f>
        <v>44095</v>
      </c>
      <c r="AC308" s="772"/>
      <c r="AD308" s="863" t="s">
        <v>148</v>
      </c>
      <c r="AJ308" s="751"/>
      <c r="AK308" s="752"/>
      <c r="AL308" s="752"/>
      <c r="AM308" s="762">
        <f t="shared" ref="AM308:AM314" si="664">SUM(AJ308:AL308)</f>
        <v>0</v>
      </c>
      <c r="AN308" s="763">
        <f>AN306+1</f>
        <v>44459</v>
      </c>
    </row>
    <row r="309" spans="1:40" hidden="1">
      <c r="A309" s="7">
        <v>9</v>
      </c>
      <c r="B309">
        <v>5</v>
      </c>
      <c r="C309" t="s">
        <v>104</v>
      </c>
      <c r="D309" s="694">
        <v>39714</v>
      </c>
      <c r="E309" s="695">
        <v>16507.11</v>
      </c>
      <c r="F309" s="697">
        <v>40078</v>
      </c>
      <c r="G309" s="695">
        <v>10034.200000000001</v>
      </c>
      <c r="H309" s="697">
        <v>40442</v>
      </c>
      <c r="I309" s="695">
        <v>7279.34</v>
      </c>
      <c r="J309" s="683">
        <v>40806</v>
      </c>
      <c r="K309" s="695">
        <v>13589.34</v>
      </c>
      <c r="L309" s="683">
        <v>41177</v>
      </c>
      <c r="M309" s="707">
        <v>18226.5</v>
      </c>
      <c r="N309" s="683">
        <v>41541</v>
      </c>
      <c r="O309" s="690">
        <v>8510.9</v>
      </c>
      <c r="P309" s="689">
        <v>41905</v>
      </c>
      <c r="Q309" s="686">
        <v>10665.1</v>
      </c>
      <c r="R309" s="689">
        <f>R308+1</f>
        <v>42269</v>
      </c>
      <c r="S309" s="777">
        <v>11437.05</v>
      </c>
      <c r="T309" s="689">
        <f>T308+1</f>
        <v>42640</v>
      </c>
      <c r="U309" s="827">
        <v>13372.25</v>
      </c>
      <c r="V309" s="689">
        <f>V308+1</f>
        <v>43004</v>
      </c>
      <c r="W309" s="827">
        <v>13697.81</v>
      </c>
      <c r="X309" s="689">
        <f>X308+1</f>
        <v>43368</v>
      </c>
      <c r="Y309" s="827">
        <v>12856.87</v>
      </c>
      <c r="Z309" s="689">
        <f>Z308+1</f>
        <v>43732</v>
      </c>
      <c r="AA309" s="827">
        <v>14164.75</v>
      </c>
      <c r="AB309" s="689">
        <f>AB308+1</f>
        <v>44096</v>
      </c>
      <c r="AC309" s="818"/>
      <c r="AD309" s="864"/>
      <c r="AJ309" s="751"/>
      <c r="AK309" s="752"/>
      <c r="AL309" s="753"/>
      <c r="AM309" s="762">
        <f t="shared" si="664"/>
        <v>0</v>
      </c>
      <c r="AN309" s="763">
        <f>AN308+1</f>
        <v>44460</v>
      </c>
    </row>
    <row r="310" spans="1:40" hidden="1">
      <c r="A310" s="7">
        <v>9</v>
      </c>
      <c r="B310">
        <v>5</v>
      </c>
      <c r="C310" t="s">
        <v>105</v>
      </c>
      <c r="D310" s="697">
        <v>39715</v>
      </c>
      <c r="E310" s="695">
        <v>17015.46</v>
      </c>
      <c r="F310" s="697">
        <v>40079</v>
      </c>
      <c r="G310" s="695">
        <v>11571.52</v>
      </c>
      <c r="H310" s="697">
        <v>40443</v>
      </c>
      <c r="I310" s="695">
        <v>13332.64</v>
      </c>
      <c r="J310" s="683">
        <v>40807</v>
      </c>
      <c r="K310" s="695">
        <v>12070.98</v>
      </c>
      <c r="L310" s="683">
        <v>41178</v>
      </c>
      <c r="M310" s="707">
        <v>12450.57</v>
      </c>
      <c r="N310" s="683">
        <v>41542</v>
      </c>
      <c r="O310" s="690">
        <v>12945.9</v>
      </c>
      <c r="P310" s="689">
        <v>41906</v>
      </c>
      <c r="Q310" s="686">
        <v>12063.15</v>
      </c>
      <c r="R310" s="689">
        <f t="shared" ref="R310:T314" si="665">R309+1</f>
        <v>42270</v>
      </c>
      <c r="S310" s="777">
        <v>14552.3</v>
      </c>
      <c r="T310" s="689">
        <f t="shared" si="665"/>
        <v>42641</v>
      </c>
      <c r="U310" s="777">
        <v>13953.71</v>
      </c>
      <c r="V310" s="689">
        <f t="shared" ref="V310:Z310" si="666">V309+1</f>
        <v>43005</v>
      </c>
      <c r="W310" s="777">
        <v>15514.55</v>
      </c>
      <c r="X310" s="689">
        <f t="shared" ref="X310" si="667">X309+1</f>
        <v>43369</v>
      </c>
      <c r="Y310" s="777">
        <v>21086.34</v>
      </c>
      <c r="Z310" s="689">
        <f t="shared" si="666"/>
        <v>43733</v>
      </c>
      <c r="AA310" s="777">
        <v>16273.92</v>
      </c>
      <c r="AB310" s="689">
        <f t="shared" ref="AB310" si="668">AB309+1</f>
        <v>44097</v>
      </c>
      <c r="AC310" s="774"/>
      <c r="AD310" s="864"/>
      <c r="AJ310" s="751"/>
      <c r="AK310" s="752"/>
      <c r="AL310" s="753"/>
      <c r="AM310" s="762">
        <f t="shared" si="664"/>
        <v>0</v>
      </c>
      <c r="AN310" s="763">
        <f t="shared" ref="AN310:AN314" si="669">AN309+1</f>
        <v>44461</v>
      </c>
    </row>
    <row r="311" spans="1:40" hidden="1">
      <c r="A311" s="7">
        <v>9</v>
      </c>
      <c r="B311">
        <v>5</v>
      </c>
      <c r="C311" t="s">
        <v>106</v>
      </c>
      <c r="D311" s="697">
        <v>39716</v>
      </c>
      <c r="E311" s="695">
        <v>11434.88</v>
      </c>
      <c r="F311" s="697">
        <v>40080</v>
      </c>
      <c r="G311" s="695">
        <v>13197.92</v>
      </c>
      <c r="H311" s="697">
        <v>40444</v>
      </c>
      <c r="I311" s="695">
        <v>13986.62</v>
      </c>
      <c r="J311" s="683">
        <v>40808</v>
      </c>
      <c r="K311" s="695">
        <v>15014.35</v>
      </c>
      <c r="L311" s="683">
        <v>41179</v>
      </c>
      <c r="M311" s="707">
        <v>12736.01</v>
      </c>
      <c r="N311" s="683">
        <v>41543</v>
      </c>
      <c r="O311" s="690">
        <v>15209.2</v>
      </c>
      <c r="P311" s="689">
        <v>41907</v>
      </c>
      <c r="Q311" s="686">
        <v>14871.25</v>
      </c>
      <c r="R311" s="689">
        <f t="shared" si="665"/>
        <v>42271</v>
      </c>
      <c r="S311" s="777">
        <v>14253.21</v>
      </c>
      <c r="T311" s="689">
        <f t="shared" si="665"/>
        <v>42642</v>
      </c>
      <c r="U311" s="777">
        <v>11139.86</v>
      </c>
      <c r="V311" s="689">
        <f t="shared" ref="V311:Z311" si="670">V310+1</f>
        <v>43006</v>
      </c>
      <c r="W311" s="777">
        <v>14909.9</v>
      </c>
      <c r="X311" s="689">
        <f t="shared" ref="X311" si="671">X310+1</f>
        <v>43370</v>
      </c>
      <c r="Y311" s="777">
        <v>15490.5</v>
      </c>
      <c r="Z311" s="689">
        <f t="shared" si="670"/>
        <v>43734</v>
      </c>
      <c r="AA311" s="777">
        <v>17498.099999999999</v>
      </c>
      <c r="AB311" s="689">
        <f t="shared" ref="AB311" si="672">AB310+1</f>
        <v>44098</v>
      </c>
      <c r="AC311" s="774"/>
      <c r="AD311" s="864"/>
      <c r="AJ311" s="751"/>
      <c r="AK311" s="752"/>
      <c r="AL311" s="753"/>
      <c r="AM311" s="762">
        <f t="shared" si="664"/>
        <v>0</v>
      </c>
      <c r="AN311" s="763">
        <f t="shared" si="669"/>
        <v>44462</v>
      </c>
    </row>
    <row r="312" spans="1:40" hidden="1">
      <c r="A312" s="7">
        <v>9</v>
      </c>
      <c r="B312">
        <v>5</v>
      </c>
      <c r="C312" t="s">
        <v>107</v>
      </c>
      <c r="D312" s="697">
        <v>39717</v>
      </c>
      <c r="E312" s="695">
        <v>15335.62</v>
      </c>
      <c r="F312" s="697">
        <v>40081</v>
      </c>
      <c r="G312" s="695">
        <v>17585.509999999998</v>
      </c>
      <c r="H312" s="697">
        <v>40445</v>
      </c>
      <c r="I312" s="695">
        <v>15538.95</v>
      </c>
      <c r="J312" s="683">
        <v>40809</v>
      </c>
      <c r="K312" s="695">
        <v>15974.2</v>
      </c>
      <c r="L312" s="683">
        <v>41180</v>
      </c>
      <c r="M312" s="707">
        <v>22335.759999999998</v>
      </c>
      <c r="N312" s="683">
        <v>41544</v>
      </c>
      <c r="O312" s="690">
        <v>16633.349999999999</v>
      </c>
      <c r="P312" s="689">
        <v>41908</v>
      </c>
      <c r="Q312" s="686">
        <v>22036.05</v>
      </c>
      <c r="R312" s="689">
        <f t="shared" si="665"/>
        <v>42272</v>
      </c>
      <c r="S312" s="777">
        <v>17736.150000000001</v>
      </c>
      <c r="T312" s="689">
        <f t="shared" si="665"/>
        <v>42643</v>
      </c>
      <c r="U312" s="777">
        <v>17734.3</v>
      </c>
      <c r="V312" s="689">
        <f t="shared" ref="V312:Z312" si="673">V311+1</f>
        <v>43007</v>
      </c>
      <c r="W312" s="777">
        <v>20143.55</v>
      </c>
      <c r="X312" s="689">
        <f t="shared" ref="X312" si="674">X311+1</f>
        <v>43371</v>
      </c>
      <c r="Y312" s="777">
        <v>18635.400000000001</v>
      </c>
      <c r="Z312" s="689">
        <f t="shared" si="673"/>
        <v>43735</v>
      </c>
      <c r="AA312" s="777">
        <v>21776.14</v>
      </c>
      <c r="AB312" s="689">
        <f t="shared" ref="AB312" si="675">AB311+1</f>
        <v>44099</v>
      </c>
      <c r="AC312" s="774"/>
      <c r="AD312" s="864"/>
      <c r="AJ312" s="751"/>
      <c r="AK312" s="752"/>
      <c r="AL312" s="753"/>
      <c r="AM312" s="762">
        <f t="shared" si="664"/>
        <v>0</v>
      </c>
      <c r="AN312" s="763">
        <f t="shared" si="669"/>
        <v>44463</v>
      </c>
    </row>
    <row r="313" spans="1:40" hidden="1">
      <c r="A313" s="7">
        <v>9</v>
      </c>
      <c r="B313">
        <v>5</v>
      </c>
      <c r="C313" t="s">
        <v>108</v>
      </c>
      <c r="D313" s="697">
        <v>39718</v>
      </c>
      <c r="E313" s="695">
        <v>19135.66</v>
      </c>
      <c r="F313" s="697">
        <v>40082</v>
      </c>
      <c r="G313" s="695">
        <v>16917.5</v>
      </c>
      <c r="H313" s="697">
        <v>40446</v>
      </c>
      <c r="I313" s="695">
        <v>13248.48</v>
      </c>
      <c r="J313" s="683">
        <v>40810</v>
      </c>
      <c r="K313" s="695">
        <v>16172.1</v>
      </c>
      <c r="L313" s="683">
        <v>41181</v>
      </c>
      <c r="M313" s="707">
        <v>16906.599999999999</v>
      </c>
      <c r="N313" s="683">
        <v>41545</v>
      </c>
      <c r="O313" s="690">
        <v>16750.5</v>
      </c>
      <c r="P313" s="689">
        <v>41909</v>
      </c>
      <c r="Q313" s="686">
        <v>19125.91</v>
      </c>
      <c r="R313" s="689">
        <f t="shared" si="665"/>
        <v>42273</v>
      </c>
      <c r="S313" s="777">
        <v>21239.96</v>
      </c>
      <c r="T313" s="689">
        <f t="shared" si="665"/>
        <v>42644</v>
      </c>
      <c r="U313" s="777">
        <v>22122.11</v>
      </c>
      <c r="V313" s="689">
        <f t="shared" ref="V313:Z313" si="676">V312+1</f>
        <v>43008</v>
      </c>
      <c r="W313" s="777">
        <v>18804.36</v>
      </c>
      <c r="X313" s="689">
        <f t="shared" ref="X313" si="677">X312+1</f>
        <v>43372</v>
      </c>
      <c r="Y313" s="777">
        <v>22335.51</v>
      </c>
      <c r="Z313" s="689">
        <f t="shared" si="676"/>
        <v>43736</v>
      </c>
      <c r="AA313" s="777">
        <v>20731.88</v>
      </c>
      <c r="AB313" s="689">
        <f t="shared" ref="AB313" si="678">AB312+1</f>
        <v>44100</v>
      </c>
      <c r="AC313" s="774"/>
      <c r="AD313" s="864"/>
      <c r="AJ313" s="751"/>
      <c r="AK313" s="752"/>
      <c r="AL313" s="753"/>
      <c r="AM313" s="762">
        <f t="shared" si="664"/>
        <v>0</v>
      </c>
      <c r="AN313" s="763">
        <f t="shared" si="669"/>
        <v>44464</v>
      </c>
    </row>
    <row r="314" spans="1:40" ht="15.75" hidden="1" thickBot="1">
      <c r="A314" s="12">
        <v>9</v>
      </c>
      <c r="B314" s="14">
        <v>5</v>
      </c>
      <c r="C314" s="14" t="s">
        <v>109</v>
      </c>
      <c r="D314" s="697">
        <v>39719</v>
      </c>
      <c r="E314" s="695">
        <v>4178.3599999999997</v>
      </c>
      <c r="F314" s="699">
        <v>40083</v>
      </c>
      <c r="G314" s="695">
        <v>4756.53</v>
      </c>
      <c r="H314" s="699">
        <v>40447</v>
      </c>
      <c r="I314" s="695">
        <v>4641.72</v>
      </c>
      <c r="J314" s="700">
        <v>40811</v>
      </c>
      <c r="K314" s="695">
        <v>8400.35</v>
      </c>
      <c r="L314" s="683">
        <v>41182</v>
      </c>
      <c r="M314" s="707">
        <v>6072.25</v>
      </c>
      <c r="N314" s="683">
        <v>41546</v>
      </c>
      <c r="O314" s="690">
        <v>6641.2</v>
      </c>
      <c r="P314" s="689">
        <v>41910</v>
      </c>
      <c r="Q314" s="686">
        <v>10150.450000000001</v>
      </c>
      <c r="R314" s="761">
        <f t="shared" si="665"/>
        <v>42274</v>
      </c>
      <c r="S314" s="778">
        <v>11500.85</v>
      </c>
      <c r="T314" s="761">
        <f t="shared" si="665"/>
        <v>42645</v>
      </c>
      <c r="U314" s="817">
        <v>9101.2999999999993</v>
      </c>
      <c r="V314" s="761">
        <f t="shared" ref="V314:Z314" si="679">V313+1</f>
        <v>43009</v>
      </c>
      <c r="W314" s="817">
        <v>10015.31</v>
      </c>
      <c r="X314" s="761">
        <f t="shared" ref="X314" si="680">X313+1</f>
        <v>43373</v>
      </c>
      <c r="Y314" s="817">
        <v>11372.67</v>
      </c>
      <c r="Z314" s="761">
        <f t="shared" si="679"/>
        <v>43737</v>
      </c>
      <c r="AA314" s="817">
        <v>10909.24</v>
      </c>
      <c r="AB314" s="761">
        <f t="shared" ref="AB314" si="681">AB313+1</f>
        <v>44101</v>
      </c>
      <c r="AC314" s="775"/>
      <c r="AD314" s="865"/>
      <c r="AE314" s="203">
        <f>SUM(E308:E314)</f>
        <v>90650.07</v>
      </c>
      <c r="AF314" s="203">
        <f>SUM(G308:G314)</f>
        <v>82404.639999999999</v>
      </c>
      <c r="AG314" s="203">
        <f>SUM(I308:I314)</f>
        <v>77488.69</v>
      </c>
      <c r="AH314" s="203">
        <f>SUM(K308:K314)</f>
        <v>90097.12000000001</v>
      </c>
      <c r="AI314" s="203">
        <f>SUM(M308:M314)</f>
        <v>95483</v>
      </c>
      <c r="AJ314" s="751"/>
      <c r="AK314" s="752"/>
      <c r="AL314" s="754"/>
      <c r="AM314" s="762">
        <f t="shared" si="664"/>
        <v>0</v>
      </c>
      <c r="AN314" s="763">
        <f t="shared" si="669"/>
        <v>44465</v>
      </c>
    </row>
    <row r="315" spans="1:40" ht="15.75" hidden="1" thickBot="1">
      <c r="A315" s="7"/>
      <c r="C315" s="809" t="s">
        <v>282</v>
      </c>
      <c r="D315" s="810"/>
      <c r="E315" s="811"/>
      <c r="F315" s="810"/>
      <c r="G315" s="811"/>
      <c r="H315" s="810"/>
      <c r="I315" s="811"/>
      <c r="J315" s="812"/>
      <c r="K315" s="813"/>
      <c r="L315" s="812"/>
      <c r="M315" s="813"/>
      <c r="N315" s="812"/>
      <c r="O315" s="814">
        <f>SUM(O308:O314)</f>
        <v>86845.499999999985</v>
      </c>
      <c r="P315" s="812"/>
      <c r="Q315" s="814">
        <f>SUM(Q308:Q314)</f>
        <v>100365.41</v>
      </c>
      <c r="R315" s="815"/>
      <c r="S315" s="816">
        <f>SUM(S308:S314)</f>
        <v>97261.12000000001</v>
      </c>
      <c r="T315" s="815"/>
      <c r="U315" s="816">
        <f>SUM(U308:U314)</f>
        <v>97566.78</v>
      </c>
      <c r="V315" s="815"/>
      <c r="W315" s="816">
        <f>SUM(W308:W314)</f>
        <v>102768.73999999999</v>
      </c>
      <c r="X315" s="815"/>
      <c r="Y315" s="816">
        <f>SUM(Y308:Y314)</f>
        <v>108546.69</v>
      </c>
      <c r="Z315" s="815"/>
      <c r="AA315" s="816">
        <f>SUM(AA308:AA314)</f>
        <v>111200.37000000001</v>
      </c>
      <c r="AB315" s="815"/>
      <c r="AC315" s="816">
        <f>SUM(AC308:AC314)</f>
        <v>0</v>
      </c>
      <c r="AD315" s="758"/>
      <c r="AE315" s="203"/>
      <c r="AF315" s="203"/>
      <c r="AG315" s="203"/>
      <c r="AH315" s="203"/>
      <c r="AI315" s="203"/>
      <c r="AJ315" s="641">
        <f>SUM(AJ308:AJ314)</f>
        <v>0</v>
      </c>
      <c r="AK315" s="642">
        <f>SUM(AK308:AK314)</f>
        <v>0</v>
      </c>
      <c r="AL315" s="642">
        <f>SUM(AL308:AL314)</f>
        <v>0</v>
      </c>
      <c r="AM315" s="643">
        <f>SUM(AM308:AM314)</f>
        <v>0</v>
      </c>
    </row>
    <row r="316" spans="1:40" ht="15.75" hidden="1" thickBot="1">
      <c r="A316" s="5">
        <v>10</v>
      </c>
      <c r="B316" s="16">
        <v>1</v>
      </c>
      <c r="C316" s="16" t="s">
        <v>103</v>
      </c>
      <c r="D316" s="699">
        <v>39720</v>
      </c>
      <c r="E316" s="695">
        <v>8084.23</v>
      </c>
      <c r="F316" s="694">
        <v>40084</v>
      </c>
      <c r="G316" s="695">
        <v>7596.11</v>
      </c>
      <c r="H316" s="694">
        <v>40448</v>
      </c>
      <c r="I316" s="695">
        <v>9113.7900000000009</v>
      </c>
      <c r="J316" s="701">
        <v>40812</v>
      </c>
      <c r="K316" s="695">
        <v>8060.72</v>
      </c>
      <c r="L316" s="683">
        <v>41183</v>
      </c>
      <c r="M316" s="707">
        <v>8705.5499999999993</v>
      </c>
      <c r="N316" s="683">
        <v>41547</v>
      </c>
      <c r="O316" s="690">
        <v>10675.13</v>
      </c>
      <c r="P316" s="689">
        <v>41911</v>
      </c>
      <c r="Q316" s="686">
        <v>6891.86</v>
      </c>
      <c r="R316" s="635">
        <f>R314+1</f>
        <v>42275</v>
      </c>
      <c r="S316" s="776">
        <v>8466.4500000000007</v>
      </c>
      <c r="T316" s="635">
        <f>T314+1</f>
        <v>42646</v>
      </c>
      <c r="U316" s="717">
        <v>8953.7000000000007</v>
      </c>
      <c r="V316" s="635">
        <f>V314+1</f>
        <v>43010</v>
      </c>
      <c r="W316" s="767">
        <v>8737.9500000000007</v>
      </c>
      <c r="X316" s="635">
        <f>X314+1</f>
        <v>43374</v>
      </c>
      <c r="Y316" s="767">
        <v>7676.71</v>
      </c>
      <c r="Z316" s="635">
        <f>Z314+1</f>
        <v>43738</v>
      </c>
      <c r="AA316" s="767">
        <v>11903.73</v>
      </c>
      <c r="AB316" s="635">
        <f>AB314+1</f>
        <v>44102</v>
      </c>
      <c r="AC316" s="772"/>
      <c r="AD316" s="863" t="s">
        <v>149</v>
      </c>
      <c r="AJ316" s="751"/>
      <c r="AK316" s="752"/>
      <c r="AL316" s="752"/>
      <c r="AM316" s="762">
        <f t="shared" ref="AM316:AM322" si="682">SUM(AJ316:AL316)</f>
        <v>0</v>
      </c>
      <c r="AN316" s="763">
        <f>AN314+1</f>
        <v>44466</v>
      </c>
    </row>
    <row r="317" spans="1:40" hidden="1">
      <c r="A317" s="7">
        <v>10</v>
      </c>
      <c r="B317">
        <v>1</v>
      </c>
      <c r="C317" t="s">
        <v>104</v>
      </c>
      <c r="D317" s="694">
        <v>39721</v>
      </c>
      <c r="E317" s="695">
        <v>12133.03</v>
      </c>
      <c r="F317" s="697">
        <v>40085</v>
      </c>
      <c r="G317" s="695">
        <v>11313.01</v>
      </c>
      <c r="H317" s="697">
        <v>40449</v>
      </c>
      <c r="I317" s="695">
        <v>10367.69</v>
      </c>
      <c r="J317" s="683">
        <v>40813</v>
      </c>
      <c r="K317" s="695">
        <v>9847.1</v>
      </c>
      <c r="L317" s="683">
        <v>41184</v>
      </c>
      <c r="M317" s="707">
        <v>10005.89</v>
      </c>
      <c r="N317" s="683">
        <v>41548</v>
      </c>
      <c r="O317" s="690">
        <v>11447.15</v>
      </c>
      <c r="P317" s="689">
        <v>41912</v>
      </c>
      <c r="Q317" s="686">
        <v>11860</v>
      </c>
      <c r="R317" s="689">
        <f>R316+1</f>
        <v>42276</v>
      </c>
      <c r="S317" s="777">
        <v>13112.31</v>
      </c>
      <c r="T317" s="689">
        <f>T316+1</f>
        <v>42647</v>
      </c>
      <c r="U317" s="719">
        <v>9592.2000000000007</v>
      </c>
      <c r="V317" s="689">
        <f>V316+1</f>
        <v>43011</v>
      </c>
      <c r="W317" s="837">
        <v>11050.25</v>
      </c>
      <c r="X317" s="689">
        <f>X316+1</f>
        <v>43375</v>
      </c>
      <c r="Y317" s="837">
        <v>12727.9</v>
      </c>
      <c r="Z317" s="689">
        <f>Z316+1</f>
        <v>43739</v>
      </c>
      <c r="AA317" s="837">
        <v>9830.64</v>
      </c>
      <c r="AB317" s="689">
        <f>AB316+1</f>
        <v>44103</v>
      </c>
      <c r="AC317" s="818"/>
      <c r="AD317" s="864"/>
      <c r="AJ317" s="751"/>
      <c r="AK317" s="752"/>
      <c r="AL317" s="753"/>
      <c r="AM317" s="762">
        <f t="shared" si="682"/>
        <v>0</v>
      </c>
      <c r="AN317" s="763">
        <f>AN316+1</f>
        <v>44467</v>
      </c>
    </row>
    <row r="318" spans="1:40" hidden="1">
      <c r="A318" s="7">
        <v>10</v>
      </c>
      <c r="B318">
        <v>1</v>
      </c>
      <c r="C318" t="s">
        <v>105</v>
      </c>
      <c r="D318" s="697">
        <v>39722</v>
      </c>
      <c r="E318" s="695">
        <v>14556.13</v>
      </c>
      <c r="F318" s="697">
        <v>40086</v>
      </c>
      <c r="G318" s="695">
        <v>13646.42</v>
      </c>
      <c r="H318" s="697">
        <v>40450</v>
      </c>
      <c r="I318" s="695">
        <v>12641.67</v>
      </c>
      <c r="J318" s="683">
        <v>40814</v>
      </c>
      <c r="K318" s="695">
        <v>11647.85</v>
      </c>
      <c r="L318" s="683">
        <v>41185</v>
      </c>
      <c r="M318" s="707">
        <v>13515.65</v>
      </c>
      <c r="N318" s="683">
        <v>41549</v>
      </c>
      <c r="O318" s="690">
        <v>16180</v>
      </c>
      <c r="P318" s="689">
        <v>41913</v>
      </c>
      <c r="Q318" s="686">
        <v>16754.45</v>
      </c>
      <c r="R318" s="689">
        <f t="shared" ref="R318:T322" si="683">R317+1</f>
        <v>42277</v>
      </c>
      <c r="S318" s="777">
        <v>11571</v>
      </c>
      <c r="T318" s="689">
        <f t="shared" si="683"/>
        <v>42648</v>
      </c>
      <c r="U318" s="719">
        <v>18441.47</v>
      </c>
      <c r="V318" s="689">
        <f t="shared" ref="V318:Z318" si="684">V317+1</f>
        <v>43012</v>
      </c>
      <c r="W318" s="768">
        <v>17443.97</v>
      </c>
      <c r="X318" s="689">
        <f t="shared" ref="X318" si="685">X317+1</f>
        <v>43376</v>
      </c>
      <c r="Y318" s="768">
        <v>11195.79</v>
      </c>
      <c r="Z318" s="689">
        <f t="shared" si="684"/>
        <v>43740</v>
      </c>
      <c r="AA318" s="768">
        <v>13314.74</v>
      </c>
      <c r="AB318" s="689">
        <f t="shared" ref="AB318" si="686">AB317+1</f>
        <v>44104</v>
      </c>
      <c r="AC318" s="774"/>
      <c r="AD318" s="864"/>
      <c r="AJ318" s="751"/>
      <c r="AK318" s="752"/>
      <c r="AL318" s="753"/>
      <c r="AM318" s="762">
        <f t="shared" si="682"/>
        <v>0</v>
      </c>
      <c r="AN318" s="763">
        <f t="shared" ref="AN318:AN322" si="687">AN317+1</f>
        <v>44468</v>
      </c>
    </row>
    <row r="319" spans="1:40" hidden="1">
      <c r="A319" s="7">
        <v>10</v>
      </c>
      <c r="B319">
        <v>1</v>
      </c>
      <c r="C319" t="s">
        <v>106</v>
      </c>
      <c r="D319" s="697">
        <v>39723</v>
      </c>
      <c r="E319" s="695">
        <v>12562.94</v>
      </c>
      <c r="F319" s="697">
        <v>40087</v>
      </c>
      <c r="G319" s="695">
        <v>10474.57</v>
      </c>
      <c r="H319" s="697">
        <v>40451</v>
      </c>
      <c r="I319" s="695">
        <v>11835.26</v>
      </c>
      <c r="J319" s="683">
        <v>40815</v>
      </c>
      <c r="K319" s="695">
        <v>13108.25</v>
      </c>
      <c r="L319" s="683">
        <v>41186</v>
      </c>
      <c r="M319" s="707">
        <v>13150.85</v>
      </c>
      <c r="N319" s="683">
        <v>41550</v>
      </c>
      <c r="O319" s="690">
        <v>9974.1200000000008</v>
      </c>
      <c r="P319" s="689">
        <v>41914</v>
      </c>
      <c r="Q319" s="686">
        <v>14219.65</v>
      </c>
      <c r="R319" s="689">
        <f t="shared" si="683"/>
        <v>42278</v>
      </c>
      <c r="S319" s="777">
        <v>14068.83</v>
      </c>
      <c r="T319" s="689">
        <f t="shared" si="683"/>
        <v>42649</v>
      </c>
      <c r="U319" s="719">
        <v>15091.12</v>
      </c>
      <c r="V319" s="689">
        <f t="shared" ref="V319:Z319" si="688">V318+1</f>
        <v>43013</v>
      </c>
      <c r="W319" s="768">
        <v>14139.28</v>
      </c>
      <c r="X319" s="689">
        <f t="shared" ref="X319" si="689">X318+1</f>
        <v>43377</v>
      </c>
      <c r="Y319" s="768">
        <v>12147.16</v>
      </c>
      <c r="Z319" s="689">
        <f t="shared" si="688"/>
        <v>43741</v>
      </c>
      <c r="AA319" s="768">
        <v>17667.89</v>
      </c>
      <c r="AB319" s="689">
        <f t="shared" ref="AB319" si="690">AB318+1</f>
        <v>44105</v>
      </c>
      <c r="AC319" s="774"/>
      <c r="AD319" s="864"/>
      <c r="AJ319" s="751"/>
      <c r="AK319" s="752"/>
      <c r="AL319" s="753"/>
      <c r="AM319" s="762">
        <f t="shared" si="682"/>
        <v>0</v>
      </c>
      <c r="AN319" s="763">
        <f t="shared" si="687"/>
        <v>44469</v>
      </c>
    </row>
    <row r="320" spans="1:40" hidden="1">
      <c r="A320" s="7">
        <v>10</v>
      </c>
      <c r="B320">
        <v>1</v>
      </c>
      <c r="C320" t="s">
        <v>107</v>
      </c>
      <c r="D320" s="697">
        <v>39724</v>
      </c>
      <c r="E320" s="695">
        <v>15449.64</v>
      </c>
      <c r="F320" s="697">
        <v>40088</v>
      </c>
      <c r="G320" s="695">
        <v>20744.52</v>
      </c>
      <c r="H320" s="697">
        <v>40452</v>
      </c>
      <c r="I320" s="695">
        <v>17047.18</v>
      </c>
      <c r="J320" s="683">
        <v>40816</v>
      </c>
      <c r="K320" s="695">
        <v>14861.95</v>
      </c>
      <c r="L320" s="683">
        <v>41187</v>
      </c>
      <c r="M320" s="707">
        <v>15372.05</v>
      </c>
      <c r="N320" s="683">
        <v>41551</v>
      </c>
      <c r="O320" s="690">
        <v>19765.2</v>
      </c>
      <c r="P320" s="689">
        <v>41915</v>
      </c>
      <c r="Q320" s="686">
        <v>21074.68</v>
      </c>
      <c r="R320" s="689">
        <f t="shared" si="683"/>
        <v>42279</v>
      </c>
      <c r="S320" s="777">
        <v>20097.2</v>
      </c>
      <c r="T320" s="689">
        <f t="shared" si="683"/>
        <v>42650</v>
      </c>
      <c r="U320" s="719">
        <v>20778.55</v>
      </c>
      <c r="V320" s="689">
        <f t="shared" ref="V320:Z320" si="691">V319+1</f>
        <v>43014</v>
      </c>
      <c r="W320" s="768">
        <v>17675.91</v>
      </c>
      <c r="X320" s="689">
        <f t="shared" ref="X320" si="692">X319+1</f>
        <v>43378</v>
      </c>
      <c r="Y320" s="768">
        <v>15762.97</v>
      </c>
      <c r="Z320" s="689">
        <f t="shared" si="691"/>
        <v>43742</v>
      </c>
      <c r="AA320" s="768">
        <v>22293.119999999999</v>
      </c>
      <c r="AB320" s="689">
        <f t="shared" ref="AB320" si="693">AB319+1</f>
        <v>44106</v>
      </c>
      <c r="AC320" s="774"/>
      <c r="AD320" s="864"/>
      <c r="AJ320" s="751"/>
      <c r="AK320" s="752"/>
      <c r="AL320" s="753"/>
      <c r="AM320" s="762">
        <f t="shared" si="682"/>
        <v>0</v>
      </c>
      <c r="AN320" s="763">
        <f t="shared" si="687"/>
        <v>44470</v>
      </c>
    </row>
    <row r="321" spans="1:40" hidden="1">
      <c r="A321" s="7">
        <v>10</v>
      </c>
      <c r="B321">
        <v>1</v>
      </c>
      <c r="C321" t="s">
        <v>108</v>
      </c>
      <c r="D321" s="697">
        <v>39725</v>
      </c>
      <c r="E321" s="695">
        <v>19647.88</v>
      </c>
      <c r="F321" s="697">
        <v>40089</v>
      </c>
      <c r="G321" s="695">
        <v>19814.650000000001</v>
      </c>
      <c r="H321" s="697">
        <v>40453</v>
      </c>
      <c r="I321" s="695">
        <v>15821.57</v>
      </c>
      <c r="J321" s="683">
        <v>40817</v>
      </c>
      <c r="K321" s="695">
        <v>17941</v>
      </c>
      <c r="L321" s="683">
        <v>41188</v>
      </c>
      <c r="M321" s="707">
        <v>15709.97</v>
      </c>
      <c r="N321" s="683">
        <v>41552</v>
      </c>
      <c r="O321" s="690">
        <v>15810.9</v>
      </c>
      <c r="P321" s="689">
        <v>41916</v>
      </c>
      <c r="Q321" s="686">
        <v>18277.55</v>
      </c>
      <c r="R321" s="689">
        <f t="shared" si="683"/>
        <v>42280</v>
      </c>
      <c r="S321" s="777">
        <v>19199.8</v>
      </c>
      <c r="T321" s="689">
        <f t="shared" si="683"/>
        <v>42651</v>
      </c>
      <c r="U321" s="719">
        <v>21517.86</v>
      </c>
      <c r="V321" s="689">
        <f t="shared" ref="V321:Z321" si="694">V320+1</f>
        <v>43015</v>
      </c>
      <c r="W321" s="768">
        <v>23118.71</v>
      </c>
      <c r="X321" s="689">
        <f t="shared" ref="X321" si="695">X320+1</f>
        <v>43379</v>
      </c>
      <c r="Y321" s="768">
        <v>19991.560000000001</v>
      </c>
      <c r="Z321" s="689">
        <f t="shared" si="694"/>
        <v>43743</v>
      </c>
      <c r="AA321" s="768">
        <v>21835.31</v>
      </c>
      <c r="AB321" s="689">
        <f t="shared" ref="AB321" si="696">AB320+1</f>
        <v>44107</v>
      </c>
      <c r="AC321" s="774"/>
      <c r="AD321" s="864"/>
      <c r="AJ321" s="751"/>
      <c r="AK321" s="752"/>
      <c r="AL321" s="753"/>
      <c r="AM321" s="762">
        <f t="shared" si="682"/>
        <v>0</v>
      </c>
      <c r="AN321" s="763">
        <f t="shared" si="687"/>
        <v>44471</v>
      </c>
    </row>
    <row r="322" spans="1:40" ht="15.75" hidden="1" thickBot="1">
      <c r="A322" s="12">
        <v>10</v>
      </c>
      <c r="B322" s="14">
        <v>1</v>
      </c>
      <c r="C322" s="14" t="s">
        <v>109</v>
      </c>
      <c r="D322" s="697">
        <v>39726</v>
      </c>
      <c r="E322" s="695">
        <v>7920.75</v>
      </c>
      <c r="F322" s="699">
        <v>40090</v>
      </c>
      <c r="G322" s="695">
        <v>7154.9</v>
      </c>
      <c r="H322" s="699">
        <v>40454</v>
      </c>
      <c r="I322" s="695">
        <v>6762.8</v>
      </c>
      <c r="J322" s="700">
        <v>40818</v>
      </c>
      <c r="K322" s="695">
        <v>5795.12</v>
      </c>
      <c r="L322" s="683">
        <v>41189</v>
      </c>
      <c r="M322" s="707">
        <v>7986.26</v>
      </c>
      <c r="N322" s="683">
        <v>41553</v>
      </c>
      <c r="O322" s="690">
        <v>6125.7</v>
      </c>
      <c r="P322" s="689">
        <v>41917</v>
      </c>
      <c r="Q322" s="686">
        <v>10800.9</v>
      </c>
      <c r="R322" s="761">
        <f t="shared" si="683"/>
        <v>42281</v>
      </c>
      <c r="S322" s="778">
        <v>10612.75</v>
      </c>
      <c r="T322" s="761">
        <f t="shared" si="683"/>
        <v>42652</v>
      </c>
      <c r="U322" s="723">
        <v>12582.4</v>
      </c>
      <c r="V322" s="761">
        <f t="shared" ref="V322:Z322" si="697">V321+1</f>
        <v>43016</v>
      </c>
      <c r="W322" s="769">
        <v>10759.56</v>
      </c>
      <c r="X322" s="761">
        <f t="shared" ref="X322" si="698">X321+1</f>
        <v>43380</v>
      </c>
      <c r="Y322" s="769">
        <v>12686.41</v>
      </c>
      <c r="Z322" s="761">
        <f t="shared" si="697"/>
        <v>43744</v>
      </c>
      <c r="AA322" s="769">
        <v>13497.43</v>
      </c>
      <c r="AB322" s="761">
        <f t="shared" ref="AB322" si="699">AB321+1</f>
        <v>44108</v>
      </c>
      <c r="AC322" s="775"/>
      <c r="AD322" s="865"/>
      <c r="AE322" s="203">
        <f>SUM(E316:E322)</f>
        <v>90354.6</v>
      </c>
      <c r="AF322" s="203">
        <f>SUM(G316:G322)</f>
        <v>90744.18</v>
      </c>
      <c r="AG322" s="203">
        <f>SUM(I316:I322)</f>
        <v>83589.960000000006</v>
      </c>
      <c r="AH322" s="203">
        <f>SUM(K316:K322)</f>
        <v>81261.989999999991</v>
      </c>
      <c r="AI322" s="203">
        <f>SUM(M316:M322)</f>
        <v>84446.219999999987</v>
      </c>
      <c r="AJ322" s="751"/>
      <c r="AK322" s="752"/>
      <c r="AL322" s="754"/>
      <c r="AM322" s="762">
        <f t="shared" si="682"/>
        <v>0</v>
      </c>
      <c r="AN322" s="763">
        <f t="shared" si="687"/>
        <v>44472</v>
      </c>
    </row>
    <row r="323" spans="1:40" ht="15.75" hidden="1" thickBot="1">
      <c r="A323" s="7"/>
      <c r="C323" s="809" t="s">
        <v>282</v>
      </c>
      <c r="D323" s="810"/>
      <c r="E323" s="811"/>
      <c r="F323" s="810"/>
      <c r="G323" s="811"/>
      <c r="H323" s="810"/>
      <c r="I323" s="811"/>
      <c r="J323" s="812"/>
      <c r="K323" s="813"/>
      <c r="L323" s="812"/>
      <c r="M323" s="813"/>
      <c r="N323" s="812"/>
      <c r="O323" s="814">
        <f>SUM(O316:O322)</f>
        <v>89978.2</v>
      </c>
      <c r="P323" s="812"/>
      <c r="Q323" s="814">
        <f>SUM(Q316:Q322)</f>
        <v>99879.09</v>
      </c>
      <c r="R323" s="815"/>
      <c r="S323" s="816">
        <f>SUM(S316:S322)</f>
        <v>97128.340000000011</v>
      </c>
      <c r="T323" s="833"/>
      <c r="U323" s="835">
        <f>SUM(U316:U322)</f>
        <v>106957.3</v>
      </c>
      <c r="V323" s="833"/>
      <c r="W323" s="835">
        <f>SUM(W316:W322)</f>
        <v>102925.63</v>
      </c>
      <c r="X323" s="833"/>
      <c r="Y323" s="835">
        <f>SUM(Y316:Y322)</f>
        <v>92188.5</v>
      </c>
      <c r="Z323" s="833"/>
      <c r="AA323" s="835">
        <f>SUM(AA316:AA322)</f>
        <v>110342.85999999999</v>
      </c>
      <c r="AB323" s="833"/>
      <c r="AC323" s="835">
        <f>SUM(AC316:AC322)</f>
        <v>0</v>
      </c>
      <c r="AD323" s="758"/>
      <c r="AE323" s="203"/>
      <c r="AF323" s="203"/>
      <c r="AG323" s="203"/>
      <c r="AH323" s="203"/>
      <c r="AI323" s="203"/>
      <c r="AJ323" s="641">
        <f>SUM(AJ316:AJ322)</f>
        <v>0</v>
      </c>
      <c r="AK323" s="642">
        <f>SUM(AK316:AK322)</f>
        <v>0</v>
      </c>
      <c r="AL323" s="642">
        <f>SUM(AL316:AL322)</f>
        <v>0</v>
      </c>
      <c r="AM323" s="643">
        <f>SUM(AM316:AM322)</f>
        <v>0</v>
      </c>
    </row>
    <row r="324" spans="1:40" ht="15.75" hidden="1" thickBot="1">
      <c r="A324" s="5">
        <v>10</v>
      </c>
      <c r="B324" s="16">
        <v>2</v>
      </c>
      <c r="C324" s="16" t="s">
        <v>103</v>
      </c>
      <c r="D324" s="699">
        <v>39727</v>
      </c>
      <c r="E324" s="695">
        <v>8430.6299999999992</v>
      </c>
      <c r="F324" s="694">
        <v>40091</v>
      </c>
      <c r="G324" s="695">
        <v>7526.06</v>
      </c>
      <c r="H324" s="694">
        <v>40455</v>
      </c>
      <c r="I324" s="695">
        <v>7096.75</v>
      </c>
      <c r="J324" s="701">
        <v>40819</v>
      </c>
      <c r="K324" s="695">
        <v>10302.219999999999</v>
      </c>
      <c r="L324" s="683">
        <v>41190</v>
      </c>
      <c r="M324" s="707">
        <v>8543.85</v>
      </c>
      <c r="N324" s="683">
        <v>41554</v>
      </c>
      <c r="O324" s="690">
        <v>8193.06</v>
      </c>
      <c r="P324" s="689">
        <v>41918</v>
      </c>
      <c r="Q324" s="686">
        <v>9041.1</v>
      </c>
      <c r="R324" s="635">
        <f>R322+1</f>
        <v>42282</v>
      </c>
      <c r="S324" s="717">
        <v>8105.95</v>
      </c>
      <c r="T324" s="634">
        <f>T322+1</f>
        <v>42653</v>
      </c>
      <c r="U324" s="834">
        <v>9855.26</v>
      </c>
      <c r="V324" s="634">
        <f>V322+1</f>
        <v>43017</v>
      </c>
      <c r="W324" s="767">
        <v>9796.66</v>
      </c>
      <c r="X324" s="634">
        <f>X322+1</f>
        <v>43381</v>
      </c>
      <c r="Y324" s="767">
        <v>6831.72</v>
      </c>
      <c r="Z324" s="634">
        <f>Z322+1</f>
        <v>43745</v>
      </c>
      <c r="AA324" s="767">
        <v>9836.16</v>
      </c>
      <c r="AB324" s="634">
        <f>AB322+1</f>
        <v>44109</v>
      </c>
      <c r="AC324" s="772"/>
      <c r="AD324" s="863" t="s">
        <v>150</v>
      </c>
      <c r="AJ324" s="751"/>
      <c r="AK324" s="752"/>
      <c r="AL324" s="752"/>
      <c r="AM324" s="762">
        <f t="shared" ref="AM324:AM330" si="700">SUM(AJ324:AL324)</f>
        <v>0</v>
      </c>
      <c r="AN324" s="763">
        <f>AN322+1</f>
        <v>44473</v>
      </c>
    </row>
    <row r="325" spans="1:40" hidden="1">
      <c r="A325" s="7">
        <v>10</v>
      </c>
      <c r="B325">
        <v>2</v>
      </c>
      <c r="C325" t="s">
        <v>104</v>
      </c>
      <c r="D325" s="694">
        <v>39728</v>
      </c>
      <c r="E325" s="695">
        <v>9778.9500000000007</v>
      </c>
      <c r="F325" s="697">
        <v>40092</v>
      </c>
      <c r="G325" s="695">
        <v>8286.8799999999992</v>
      </c>
      <c r="H325" s="697">
        <v>40456</v>
      </c>
      <c r="I325" s="695">
        <v>7917.51</v>
      </c>
      <c r="J325" s="683">
        <v>40820</v>
      </c>
      <c r="K325" s="695">
        <v>8576.9500000000007</v>
      </c>
      <c r="L325" s="683">
        <v>41191</v>
      </c>
      <c r="M325" s="707">
        <v>12278.56</v>
      </c>
      <c r="N325" s="683">
        <v>41555</v>
      </c>
      <c r="O325" s="690">
        <v>12508.05</v>
      </c>
      <c r="P325" s="689">
        <v>41919</v>
      </c>
      <c r="Q325" s="686">
        <v>10730.05</v>
      </c>
      <c r="R325" s="689">
        <f>R324+1</f>
        <v>42283</v>
      </c>
      <c r="S325" s="719">
        <v>11476.05</v>
      </c>
      <c r="T325" s="829">
        <f>T324+1</f>
        <v>42654</v>
      </c>
      <c r="U325" s="828">
        <v>12075.49</v>
      </c>
      <c r="V325" s="829">
        <f>V324+1</f>
        <v>43018</v>
      </c>
      <c r="W325" s="837">
        <v>12041.02</v>
      </c>
      <c r="X325" s="829">
        <f>X324+1</f>
        <v>43382</v>
      </c>
      <c r="Y325" s="837">
        <v>12452.78</v>
      </c>
      <c r="Z325" s="829">
        <f>Z324+1</f>
        <v>43746</v>
      </c>
      <c r="AA325" s="837">
        <v>12601.94</v>
      </c>
      <c r="AB325" s="829">
        <f>AB324+1</f>
        <v>44110</v>
      </c>
      <c r="AC325" s="818"/>
      <c r="AD325" s="864"/>
      <c r="AJ325" s="751"/>
      <c r="AK325" s="752"/>
      <c r="AL325" s="753"/>
      <c r="AM325" s="762">
        <f t="shared" si="700"/>
        <v>0</v>
      </c>
      <c r="AN325" s="763">
        <f>AN324+1</f>
        <v>44474</v>
      </c>
    </row>
    <row r="326" spans="1:40" hidden="1">
      <c r="A326" s="7">
        <v>10</v>
      </c>
      <c r="B326">
        <v>2</v>
      </c>
      <c r="C326" t="s">
        <v>105</v>
      </c>
      <c r="D326" s="697">
        <v>39729</v>
      </c>
      <c r="E326" s="695">
        <v>12884.41</v>
      </c>
      <c r="F326" s="697">
        <v>40093</v>
      </c>
      <c r="G326" s="695">
        <v>13588.2</v>
      </c>
      <c r="H326" s="697">
        <v>40457</v>
      </c>
      <c r="I326" s="695">
        <v>11081.94</v>
      </c>
      <c r="J326" s="683">
        <v>40821</v>
      </c>
      <c r="K326" s="695">
        <v>14913.95</v>
      </c>
      <c r="L326" s="683">
        <v>41192</v>
      </c>
      <c r="M326" s="707">
        <v>13059.09</v>
      </c>
      <c r="N326" s="683">
        <v>41556</v>
      </c>
      <c r="O326" s="690">
        <v>14462.05</v>
      </c>
      <c r="P326" s="689">
        <v>41920</v>
      </c>
      <c r="Q326" s="686">
        <v>10211.200000000001</v>
      </c>
      <c r="R326" s="689">
        <f t="shared" ref="R326:T330" si="701">R325+1</f>
        <v>42284</v>
      </c>
      <c r="S326" s="719">
        <v>19359.150000000001</v>
      </c>
      <c r="T326" s="829">
        <f t="shared" si="701"/>
        <v>42655</v>
      </c>
      <c r="U326" s="828">
        <v>13986.77</v>
      </c>
      <c r="V326" s="829">
        <f t="shared" ref="V326:Z326" si="702">V325+1</f>
        <v>43019</v>
      </c>
      <c r="W326" s="768">
        <v>15563.82</v>
      </c>
      <c r="X326" s="829">
        <f t="shared" ref="X326" si="703">X325+1</f>
        <v>43383</v>
      </c>
      <c r="Y326" s="768">
        <v>11768.39</v>
      </c>
      <c r="Z326" s="829">
        <f t="shared" si="702"/>
        <v>43747</v>
      </c>
      <c r="AA326" s="768">
        <v>15742.37</v>
      </c>
      <c r="AB326" s="829">
        <f t="shared" ref="AB326" si="704">AB325+1</f>
        <v>44111</v>
      </c>
      <c r="AC326" s="774"/>
      <c r="AD326" s="864"/>
      <c r="AJ326" s="751"/>
      <c r="AK326" s="752"/>
      <c r="AL326" s="753"/>
      <c r="AM326" s="762">
        <f t="shared" si="700"/>
        <v>0</v>
      </c>
      <c r="AN326" s="763">
        <f t="shared" ref="AN326:AN330" si="705">AN325+1</f>
        <v>44475</v>
      </c>
    </row>
    <row r="327" spans="1:40" hidden="1">
      <c r="A327" s="7">
        <v>10</v>
      </c>
      <c r="B327">
        <v>2</v>
      </c>
      <c r="C327" t="s">
        <v>106</v>
      </c>
      <c r="D327" s="697">
        <v>39730</v>
      </c>
      <c r="E327" s="695">
        <v>10031.98</v>
      </c>
      <c r="F327" s="697">
        <v>40094</v>
      </c>
      <c r="G327" s="695">
        <v>14759.64</v>
      </c>
      <c r="H327" s="697">
        <v>40458</v>
      </c>
      <c r="I327" s="695">
        <v>11099.14</v>
      </c>
      <c r="J327" s="683">
        <v>40822</v>
      </c>
      <c r="K327" s="695">
        <v>9765.7000000000007</v>
      </c>
      <c r="L327" s="683">
        <v>41193</v>
      </c>
      <c r="M327" s="707">
        <v>17413.39</v>
      </c>
      <c r="N327" s="683">
        <v>41557</v>
      </c>
      <c r="O327" s="690">
        <v>13699.2</v>
      </c>
      <c r="P327" s="689">
        <v>41921</v>
      </c>
      <c r="Q327" s="686">
        <v>16117.26</v>
      </c>
      <c r="R327" s="689">
        <f t="shared" si="701"/>
        <v>42285</v>
      </c>
      <c r="S327" s="719">
        <v>11911.1</v>
      </c>
      <c r="T327" s="829">
        <f t="shared" si="701"/>
        <v>42656</v>
      </c>
      <c r="U327" s="828">
        <v>16893.68</v>
      </c>
      <c r="V327" s="829">
        <f t="shared" ref="V327:Z327" si="706">V326+1</f>
        <v>43020</v>
      </c>
      <c r="W327" s="768">
        <v>15355.4</v>
      </c>
      <c r="X327" s="829">
        <f t="shared" ref="X327" si="707">X326+1</f>
        <v>43384</v>
      </c>
      <c r="Y327" s="768">
        <v>12955.41</v>
      </c>
      <c r="Z327" s="829">
        <f t="shared" si="706"/>
        <v>43748</v>
      </c>
      <c r="AA327" s="768">
        <v>16447.810000000001</v>
      </c>
      <c r="AB327" s="829">
        <f t="shared" ref="AB327" si="708">AB326+1</f>
        <v>44112</v>
      </c>
      <c r="AC327" s="774"/>
      <c r="AD327" s="864"/>
      <c r="AJ327" s="751"/>
      <c r="AK327" s="752"/>
      <c r="AL327" s="753"/>
      <c r="AM327" s="762">
        <f t="shared" si="700"/>
        <v>0</v>
      </c>
      <c r="AN327" s="763">
        <f t="shared" si="705"/>
        <v>44476</v>
      </c>
    </row>
    <row r="328" spans="1:40" hidden="1">
      <c r="A328" s="7">
        <v>10</v>
      </c>
      <c r="B328">
        <v>2</v>
      </c>
      <c r="C328" t="s">
        <v>107</v>
      </c>
      <c r="D328" s="697">
        <v>39731</v>
      </c>
      <c r="E328" s="695">
        <v>16001.8</v>
      </c>
      <c r="F328" s="697">
        <v>40095</v>
      </c>
      <c r="G328" s="695">
        <v>19648.38</v>
      </c>
      <c r="H328" s="697">
        <v>40459</v>
      </c>
      <c r="I328" s="695">
        <v>15739.57</v>
      </c>
      <c r="J328" s="683">
        <v>40823</v>
      </c>
      <c r="K328" s="695">
        <v>13205.42</v>
      </c>
      <c r="L328" s="683">
        <v>41194</v>
      </c>
      <c r="M328" s="707">
        <v>17568.98</v>
      </c>
      <c r="N328" s="683">
        <v>41558</v>
      </c>
      <c r="O328" s="690">
        <v>17799.05</v>
      </c>
      <c r="P328" s="689">
        <v>41922</v>
      </c>
      <c r="Q328" s="686">
        <v>21392.81</v>
      </c>
      <c r="R328" s="689">
        <f t="shared" si="701"/>
        <v>42286</v>
      </c>
      <c r="S328" s="719">
        <v>15949.9</v>
      </c>
      <c r="T328" s="829">
        <f t="shared" si="701"/>
        <v>42657</v>
      </c>
      <c r="U328" s="828">
        <v>22638.9</v>
      </c>
      <c r="V328" s="829">
        <f t="shared" ref="V328:Z328" si="709">V327+1</f>
        <v>43021</v>
      </c>
      <c r="W328" s="768">
        <v>21820.92</v>
      </c>
      <c r="X328" s="829">
        <f t="shared" ref="X328" si="710">X327+1</f>
        <v>43385</v>
      </c>
      <c r="Y328" s="768">
        <v>19250.57</v>
      </c>
      <c r="Z328" s="829">
        <f t="shared" si="709"/>
        <v>43749</v>
      </c>
      <c r="AA328" s="768">
        <v>24043.200000000001</v>
      </c>
      <c r="AB328" s="829">
        <f t="shared" ref="AB328" si="711">AB327+1</f>
        <v>44113</v>
      </c>
      <c r="AC328" s="774"/>
      <c r="AD328" s="864"/>
      <c r="AJ328" s="751"/>
      <c r="AK328" s="752"/>
      <c r="AL328" s="753"/>
      <c r="AM328" s="762">
        <f t="shared" si="700"/>
        <v>0</v>
      </c>
      <c r="AN328" s="763">
        <f t="shared" si="705"/>
        <v>44477</v>
      </c>
    </row>
    <row r="329" spans="1:40" hidden="1">
      <c r="A329" s="7">
        <v>10</v>
      </c>
      <c r="B329">
        <v>2</v>
      </c>
      <c r="C329" t="s">
        <v>108</v>
      </c>
      <c r="D329" s="697">
        <v>39732</v>
      </c>
      <c r="E329" s="695">
        <v>18533.02</v>
      </c>
      <c r="F329" s="697">
        <v>40096</v>
      </c>
      <c r="G329" s="695">
        <v>17502.97</v>
      </c>
      <c r="H329" s="697">
        <v>40460</v>
      </c>
      <c r="I329" s="695">
        <v>21029.88</v>
      </c>
      <c r="J329" s="683">
        <v>40824</v>
      </c>
      <c r="K329" s="695">
        <v>16964.64</v>
      </c>
      <c r="L329" s="683">
        <v>41195</v>
      </c>
      <c r="M329" s="707">
        <v>20239.509999999998</v>
      </c>
      <c r="N329" s="683">
        <v>41559</v>
      </c>
      <c r="O329" s="690">
        <v>17119.3</v>
      </c>
      <c r="P329" s="689">
        <v>41923</v>
      </c>
      <c r="Q329" s="686">
        <v>21048.25</v>
      </c>
      <c r="R329" s="689">
        <f t="shared" si="701"/>
        <v>42287</v>
      </c>
      <c r="S329" s="719">
        <v>22657.47</v>
      </c>
      <c r="T329" s="829">
        <f t="shared" si="701"/>
        <v>42658</v>
      </c>
      <c r="U329" s="828">
        <v>23647.29</v>
      </c>
      <c r="V329" s="829">
        <f t="shared" ref="V329:Z329" si="712">V328+1</f>
        <v>43022</v>
      </c>
      <c r="W329" s="768">
        <v>23130.7</v>
      </c>
      <c r="X329" s="829">
        <f t="shared" ref="X329" si="713">X328+1</f>
        <v>43386</v>
      </c>
      <c r="Y329" s="768">
        <v>24335.23</v>
      </c>
      <c r="Z329" s="829">
        <f t="shared" si="712"/>
        <v>43750</v>
      </c>
      <c r="AA329" s="768">
        <v>21284.69</v>
      </c>
      <c r="AB329" s="829">
        <f t="shared" ref="AB329" si="714">AB328+1</f>
        <v>44114</v>
      </c>
      <c r="AC329" s="774"/>
      <c r="AD329" s="864"/>
      <c r="AJ329" s="751"/>
      <c r="AK329" s="752"/>
      <c r="AL329" s="753"/>
      <c r="AM329" s="762">
        <f t="shared" si="700"/>
        <v>0</v>
      </c>
      <c r="AN329" s="763">
        <f t="shared" si="705"/>
        <v>44478</v>
      </c>
    </row>
    <row r="330" spans="1:40" ht="15.75" hidden="1" thickBot="1">
      <c r="A330" s="12">
        <v>10</v>
      </c>
      <c r="B330" s="14">
        <v>2</v>
      </c>
      <c r="C330" s="14" t="s">
        <v>109</v>
      </c>
      <c r="D330" s="697">
        <v>39733</v>
      </c>
      <c r="E330" s="695">
        <v>7016.6</v>
      </c>
      <c r="F330" s="699">
        <v>40097</v>
      </c>
      <c r="G330" s="695">
        <v>5035.16</v>
      </c>
      <c r="H330" s="699">
        <v>40461</v>
      </c>
      <c r="I330" s="695">
        <v>4807.25</v>
      </c>
      <c r="J330" s="700">
        <v>40825</v>
      </c>
      <c r="K330" s="695">
        <v>4763.75</v>
      </c>
      <c r="L330" s="683">
        <v>41196</v>
      </c>
      <c r="M330" s="707">
        <v>9838.0400000000009</v>
      </c>
      <c r="N330" s="683">
        <v>41560</v>
      </c>
      <c r="O330" s="690">
        <v>7571.1</v>
      </c>
      <c r="P330" s="689">
        <v>41924</v>
      </c>
      <c r="Q330" s="686">
        <v>10962.1</v>
      </c>
      <c r="R330" s="761">
        <f t="shared" si="701"/>
        <v>42288</v>
      </c>
      <c r="S330" s="723">
        <v>13305.15</v>
      </c>
      <c r="T330" s="831">
        <f t="shared" si="701"/>
        <v>42659</v>
      </c>
      <c r="U330" s="830">
        <v>10901.71</v>
      </c>
      <c r="V330" s="831">
        <f t="shared" ref="V330:Z330" si="715">V329+1</f>
        <v>43023</v>
      </c>
      <c r="W330" s="769">
        <v>12553.51</v>
      </c>
      <c r="X330" s="831">
        <f t="shared" ref="X330" si="716">X329+1</f>
        <v>43387</v>
      </c>
      <c r="Y330" s="769">
        <v>11978.88</v>
      </c>
      <c r="Z330" s="831">
        <f t="shared" si="715"/>
        <v>43751</v>
      </c>
      <c r="AA330" s="769">
        <v>14450.54</v>
      </c>
      <c r="AB330" s="831">
        <f t="shared" ref="AB330" si="717">AB329+1</f>
        <v>44115</v>
      </c>
      <c r="AC330" s="775"/>
      <c r="AD330" s="865"/>
      <c r="AE330" s="203">
        <f>SUM(E324:E330)</f>
        <v>82677.390000000014</v>
      </c>
      <c r="AF330" s="203">
        <f>SUM(G324:G330)</f>
        <v>86347.290000000008</v>
      </c>
      <c r="AG330" s="203">
        <f>SUM(I324:I330)</f>
        <v>78772.039999999994</v>
      </c>
      <c r="AH330" s="203">
        <f>SUM(K324:K330)</f>
        <v>78492.62999999999</v>
      </c>
      <c r="AI330" s="203">
        <f>SUM(M324:M330)</f>
        <v>98941.419999999984</v>
      </c>
      <c r="AJ330" s="751"/>
      <c r="AK330" s="752"/>
      <c r="AL330" s="754"/>
      <c r="AM330" s="762">
        <f t="shared" si="700"/>
        <v>0</v>
      </c>
      <c r="AN330" s="763">
        <f t="shared" si="705"/>
        <v>44479</v>
      </c>
    </row>
    <row r="331" spans="1:40" ht="15.75" hidden="1" thickBot="1">
      <c r="A331" s="7"/>
      <c r="C331" s="809" t="s">
        <v>282</v>
      </c>
      <c r="D331" s="810"/>
      <c r="E331" s="811"/>
      <c r="F331" s="810"/>
      <c r="G331" s="811"/>
      <c r="H331" s="810"/>
      <c r="I331" s="811"/>
      <c r="J331" s="812"/>
      <c r="K331" s="813"/>
      <c r="L331" s="812"/>
      <c r="M331" s="813"/>
      <c r="N331" s="812"/>
      <c r="O331" s="814">
        <f>SUM(O324:O330)</f>
        <v>91351.810000000012</v>
      </c>
      <c r="P331" s="812"/>
      <c r="Q331" s="814">
        <f>SUM(Q324:Q330)</f>
        <v>99502.77</v>
      </c>
      <c r="R331" s="815"/>
      <c r="S331" s="816">
        <f>SUM(S324:S330)</f>
        <v>102764.76999999999</v>
      </c>
      <c r="T331" s="815"/>
      <c r="U331" s="835">
        <f>SUM(U324:U330)</f>
        <v>109999.1</v>
      </c>
      <c r="V331" s="815"/>
      <c r="W331" s="835">
        <f>SUM(W324:W330)</f>
        <v>110262.03</v>
      </c>
      <c r="X331" s="815"/>
      <c r="Y331" s="835">
        <f>SUM(Y324:Y330)</f>
        <v>99572.98000000001</v>
      </c>
      <c r="Z331" s="815"/>
      <c r="AA331" s="835">
        <f>SUM(AA324:AA330)</f>
        <v>114406.70999999999</v>
      </c>
      <c r="AB331" s="815"/>
      <c r="AC331" s="835">
        <f>SUM(AC324:AC330)</f>
        <v>0</v>
      </c>
      <c r="AD331" s="758"/>
      <c r="AE331" s="203"/>
      <c r="AF331" s="203"/>
      <c r="AG331" s="203"/>
      <c r="AH331" s="203"/>
      <c r="AI331" s="203"/>
      <c r="AJ331" s="641">
        <f>SUM(AJ324:AJ330)</f>
        <v>0</v>
      </c>
      <c r="AK331" s="642">
        <f>SUM(AK324:AK330)</f>
        <v>0</v>
      </c>
      <c r="AL331" s="642">
        <f>SUM(AL324:AL330)</f>
        <v>0</v>
      </c>
      <c r="AM331" s="643">
        <f>SUM(AM324:AM330)</f>
        <v>0</v>
      </c>
    </row>
    <row r="332" spans="1:40" ht="15.75" hidden="1" thickBot="1">
      <c r="A332" s="5">
        <v>10</v>
      </c>
      <c r="B332" s="16">
        <v>3</v>
      </c>
      <c r="C332" s="16" t="s">
        <v>103</v>
      </c>
      <c r="D332" s="699">
        <v>39734</v>
      </c>
      <c r="E332" s="695">
        <v>6091.38</v>
      </c>
      <c r="F332" s="694">
        <v>40098</v>
      </c>
      <c r="G332" s="695">
        <v>10442.540000000001</v>
      </c>
      <c r="H332" s="694">
        <v>40462</v>
      </c>
      <c r="I332" s="695">
        <v>8929.1</v>
      </c>
      <c r="J332" s="701">
        <v>40826</v>
      </c>
      <c r="K332" s="695">
        <v>10528.87</v>
      </c>
      <c r="L332" s="683">
        <v>41197</v>
      </c>
      <c r="M332" s="707">
        <v>6209.75</v>
      </c>
      <c r="N332" s="683">
        <v>41561</v>
      </c>
      <c r="O332" s="690">
        <v>11869.08</v>
      </c>
      <c r="P332" s="689">
        <v>41925</v>
      </c>
      <c r="Q332" s="686">
        <v>9793.25</v>
      </c>
      <c r="R332" s="635">
        <f>R330+1</f>
        <v>42289</v>
      </c>
      <c r="S332" s="717">
        <v>9608.06</v>
      </c>
      <c r="T332" s="635">
        <f>T330+1</f>
        <v>42660</v>
      </c>
      <c r="U332" s="832">
        <v>8150.75</v>
      </c>
      <c r="V332" s="635">
        <f>V330+1</f>
        <v>43024</v>
      </c>
      <c r="W332" s="767">
        <v>10311.700000000001</v>
      </c>
      <c r="X332" s="635">
        <f>X330+1</f>
        <v>43388</v>
      </c>
      <c r="Y332" s="767">
        <v>12517.56</v>
      </c>
      <c r="Z332" s="635">
        <f>Z330+1</f>
        <v>43752</v>
      </c>
      <c r="AA332" s="767">
        <v>11878.1</v>
      </c>
      <c r="AB332" s="635">
        <f>AB330+1</f>
        <v>44116</v>
      </c>
      <c r="AC332" s="772"/>
      <c r="AD332" s="863" t="s">
        <v>151</v>
      </c>
      <c r="AJ332" s="751"/>
      <c r="AK332" s="752"/>
      <c r="AL332" s="752"/>
      <c r="AM332" s="762">
        <f t="shared" ref="AM332:AM338" si="718">SUM(AJ332:AL332)</f>
        <v>0</v>
      </c>
      <c r="AN332" s="763">
        <f>AN330+1</f>
        <v>44480</v>
      </c>
    </row>
    <row r="333" spans="1:40" hidden="1">
      <c r="A333" s="7">
        <v>10</v>
      </c>
      <c r="B333">
        <v>3</v>
      </c>
      <c r="C333" t="s">
        <v>104</v>
      </c>
      <c r="D333" s="694">
        <v>39735</v>
      </c>
      <c r="E333" s="695">
        <v>10969.23</v>
      </c>
      <c r="F333" s="697">
        <v>40099</v>
      </c>
      <c r="G333" s="695">
        <v>10747.24</v>
      </c>
      <c r="H333" s="697">
        <v>40463</v>
      </c>
      <c r="I333" s="695">
        <v>7615.32</v>
      </c>
      <c r="J333" s="683">
        <v>40827</v>
      </c>
      <c r="K333" s="695">
        <v>13577.24</v>
      </c>
      <c r="L333" s="683">
        <v>41198</v>
      </c>
      <c r="M333" s="707">
        <v>13281.79</v>
      </c>
      <c r="N333" s="683">
        <v>41562</v>
      </c>
      <c r="O333" s="690">
        <v>12178.08</v>
      </c>
      <c r="P333" s="689">
        <v>41926</v>
      </c>
      <c r="Q333" s="686">
        <v>16763.599999999999</v>
      </c>
      <c r="R333" s="689">
        <f>R332+1</f>
        <v>42290</v>
      </c>
      <c r="S333" s="719">
        <v>10495.25</v>
      </c>
      <c r="T333" s="689">
        <f>T332+1</f>
        <v>42661</v>
      </c>
      <c r="U333" s="718">
        <v>12988.34</v>
      </c>
      <c r="V333" s="689">
        <f>V332+1</f>
        <v>43025</v>
      </c>
      <c r="W333" s="837">
        <v>12139.5</v>
      </c>
      <c r="X333" s="689">
        <f>X332+1</f>
        <v>43389</v>
      </c>
      <c r="Y333" s="837">
        <v>14582</v>
      </c>
      <c r="Z333" s="689">
        <f>Z332+1</f>
        <v>43753</v>
      </c>
      <c r="AA333" s="837">
        <v>16652.97</v>
      </c>
      <c r="AB333" s="689">
        <f>AB332+1</f>
        <v>44117</v>
      </c>
      <c r="AC333" s="818"/>
      <c r="AD333" s="864"/>
      <c r="AJ333" s="751"/>
      <c r="AK333" s="752"/>
      <c r="AL333" s="753"/>
      <c r="AM333" s="762">
        <f t="shared" si="718"/>
        <v>0</v>
      </c>
      <c r="AN333" s="763">
        <f>AN332+1</f>
        <v>44481</v>
      </c>
    </row>
    <row r="334" spans="1:40" hidden="1">
      <c r="A334" s="7">
        <v>10</v>
      </c>
      <c r="B334">
        <v>3</v>
      </c>
      <c r="C334" t="s">
        <v>105</v>
      </c>
      <c r="D334" s="697">
        <v>39736</v>
      </c>
      <c r="E334" s="695">
        <v>11789.6</v>
      </c>
      <c r="F334" s="697">
        <v>40100</v>
      </c>
      <c r="G334" s="695">
        <v>13280.74</v>
      </c>
      <c r="H334" s="697">
        <v>40464</v>
      </c>
      <c r="I334" s="695">
        <v>10101.01</v>
      </c>
      <c r="J334" s="683">
        <v>40828</v>
      </c>
      <c r="K334" s="695">
        <v>10747.41</v>
      </c>
      <c r="L334" s="683">
        <v>41199</v>
      </c>
      <c r="M334" s="707">
        <v>13856.3</v>
      </c>
      <c r="N334" s="683">
        <v>41563</v>
      </c>
      <c r="O334" s="690">
        <v>13665.67</v>
      </c>
      <c r="P334" s="689">
        <v>41927</v>
      </c>
      <c r="Q334" s="686">
        <v>11812.12</v>
      </c>
      <c r="R334" s="689">
        <f t="shared" ref="R334:T338" si="719">R333+1</f>
        <v>42291</v>
      </c>
      <c r="S334" s="719">
        <v>13253.9</v>
      </c>
      <c r="T334" s="689">
        <f t="shared" si="719"/>
        <v>42662</v>
      </c>
      <c r="U334" s="719">
        <v>14865.2</v>
      </c>
      <c r="V334" s="689">
        <f t="shared" ref="V334:Z334" si="720">V333+1</f>
        <v>43026</v>
      </c>
      <c r="W334" s="768">
        <v>20810.98</v>
      </c>
      <c r="X334" s="689">
        <f t="shared" ref="X334" si="721">X333+1</f>
        <v>43390</v>
      </c>
      <c r="Y334" s="768">
        <v>16011.67</v>
      </c>
      <c r="Z334" s="689">
        <f t="shared" si="720"/>
        <v>43754</v>
      </c>
      <c r="AA334" s="768">
        <v>16072.52</v>
      </c>
      <c r="AB334" s="689">
        <f t="shared" ref="AB334" si="722">AB333+1</f>
        <v>44118</v>
      </c>
      <c r="AC334" s="774"/>
      <c r="AD334" s="864"/>
      <c r="AJ334" s="751"/>
      <c r="AK334" s="752"/>
      <c r="AL334" s="753"/>
      <c r="AM334" s="762">
        <f t="shared" si="718"/>
        <v>0</v>
      </c>
      <c r="AN334" s="763">
        <f t="shared" ref="AN334:AN338" si="723">AN333+1</f>
        <v>44482</v>
      </c>
    </row>
    <row r="335" spans="1:40" hidden="1">
      <c r="A335" s="7">
        <v>10</v>
      </c>
      <c r="B335">
        <v>3</v>
      </c>
      <c r="C335" t="s">
        <v>106</v>
      </c>
      <c r="D335" s="697">
        <v>39737</v>
      </c>
      <c r="E335" s="695">
        <v>14991.85</v>
      </c>
      <c r="F335" s="697">
        <v>40101</v>
      </c>
      <c r="G335" s="695">
        <v>12325.26</v>
      </c>
      <c r="H335" s="697">
        <v>40465</v>
      </c>
      <c r="I335" s="695">
        <v>13084.06</v>
      </c>
      <c r="J335" s="683">
        <v>40829</v>
      </c>
      <c r="K335" s="695">
        <v>13491.23</v>
      </c>
      <c r="L335" s="683">
        <v>41200</v>
      </c>
      <c r="M335" s="707">
        <v>9648.2000000000007</v>
      </c>
      <c r="N335" s="683">
        <v>41564</v>
      </c>
      <c r="O335" s="690">
        <v>14515.62</v>
      </c>
      <c r="P335" s="689">
        <v>41928</v>
      </c>
      <c r="Q335" s="686">
        <v>15396.69</v>
      </c>
      <c r="R335" s="689">
        <f t="shared" si="719"/>
        <v>42292</v>
      </c>
      <c r="S335" s="719">
        <v>13114.15</v>
      </c>
      <c r="T335" s="689">
        <f t="shared" si="719"/>
        <v>42663</v>
      </c>
      <c r="U335" s="719">
        <v>15629.4</v>
      </c>
      <c r="V335" s="689">
        <f t="shared" ref="V335:Z335" si="724">V334+1</f>
        <v>43027</v>
      </c>
      <c r="W335" s="768">
        <v>15015.4</v>
      </c>
      <c r="X335" s="689">
        <f t="shared" ref="X335" si="725">X334+1</f>
        <v>43391</v>
      </c>
      <c r="Y335" s="768">
        <v>17748.66</v>
      </c>
      <c r="Z335" s="689">
        <f t="shared" si="724"/>
        <v>43755</v>
      </c>
      <c r="AA335" s="768">
        <v>16600.37</v>
      </c>
      <c r="AB335" s="689">
        <f t="shared" ref="AB335" si="726">AB334+1</f>
        <v>44119</v>
      </c>
      <c r="AC335" s="774"/>
      <c r="AD335" s="864"/>
      <c r="AJ335" s="751"/>
      <c r="AK335" s="752"/>
      <c r="AL335" s="753"/>
      <c r="AM335" s="762">
        <f t="shared" si="718"/>
        <v>0</v>
      </c>
      <c r="AN335" s="763">
        <f t="shared" si="723"/>
        <v>44483</v>
      </c>
    </row>
    <row r="336" spans="1:40" hidden="1">
      <c r="A336" s="7">
        <v>10</v>
      </c>
      <c r="B336">
        <v>3</v>
      </c>
      <c r="C336" t="s">
        <v>107</v>
      </c>
      <c r="D336" s="697">
        <v>39738</v>
      </c>
      <c r="E336" s="695">
        <v>18009.580000000002</v>
      </c>
      <c r="F336" s="697">
        <v>40102</v>
      </c>
      <c r="G336" s="695">
        <v>16444.2</v>
      </c>
      <c r="H336" s="697">
        <v>40466</v>
      </c>
      <c r="I336" s="695">
        <v>14460.69</v>
      </c>
      <c r="J336" s="683">
        <v>40830</v>
      </c>
      <c r="K336" s="695">
        <v>21032.400000000001</v>
      </c>
      <c r="L336" s="683">
        <v>41201</v>
      </c>
      <c r="M336" s="707">
        <v>15666.05</v>
      </c>
      <c r="N336" s="683">
        <v>41565</v>
      </c>
      <c r="O336" s="690">
        <v>20296.849999999999</v>
      </c>
      <c r="P336" s="689">
        <v>41929</v>
      </c>
      <c r="Q336" s="686">
        <v>21526.62</v>
      </c>
      <c r="R336" s="689">
        <f t="shared" si="719"/>
        <v>42293</v>
      </c>
      <c r="S336" s="719">
        <v>27675.16</v>
      </c>
      <c r="T336" s="689">
        <f t="shared" si="719"/>
        <v>42664</v>
      </c>
      <c r="U336" s="719">
        <v>18999.7</v>
      </c>
      <c r="V336" s="689">
        <f t="shared" ref="V336:Z336" si="727">V335+1</f>
        <v>43028</v>
      </c>
      <c r="W336" s="768">
        <v>20654.95</v>
      </c>
      <c r="X336" s="689">
        <f t="shared" ref="X336" si="728">X335+1</f>
        <v>43392</v>
      </c>
      <c r="Y336" s="768">
        <v>19679.93</v>
      </c>
      <c r="Z336" s="689">
        <f t="shared" si="727"/>
        <v>43756</v>
      </c>
      <c r="AA336" s="768">
        <v>21926.47</v>
      </c>
      <c r="AB336" s="689">
        <f t="shared" ref="AB336" si="729">AB335+1</f>
        <v>44120</v>
      </c>
      <c r="AC336" s="774"/>
      <c r="AD336" s="864"/>
      <c r="AJ336" s="751"/>
      <c r="AK336" s="752"/>
      <c r="AL336" s="753"/>
      <c r="AM336" s="762">
        <f t="shared" si="718"/>
        <v>0</v>
      </c>
      <c r="AN336" s="763">
        <f t="shared" si="723"/>
        <v>44484</v>
      </c>
    </row>
    <row r="337" spans="1:40" hidden="1">
      <c r="A337" s="7">
        <v>10</v>
      </c>
      <c r="B337">
        <v>3</v>
      </c>
      <c r="C337" t="s">
        <v>108</v>
      </c>
      <c r="D337" s="697">
        <v>39739</v>
      </c>
      <c r="E337" s="695">
        <v>20660.669999999998</v>
      </c>
      <c r="F337" s="697">
        <v>40103</v>
      </c>
      <c r="G337" s="695">
        <v>19600.240000000002</v>
      </c>
      <c r="H337" s="697">
        <v>40467</v>
      </c>
      <c r="I337" s="695">
        <v>18641.509999999998</v>
      </c>
      <c r="J337" s="683">
        <v>40831</v>
      </c>
      <c r="K337" s="695">
        <v>21043.65</v>
      </c>
      <c r="L337" s="683">
        <v>41202</v>
      </c>
      <c r="M337" s="707">
        <v>21455.7</v>
      </c>
      <c r="N337" s="683">
        <v>41566</v>
      </c>
      <c r="O337" s="690">
        <v>20452.68</v>
      </c>
      <c r="P337" s="689">
        <v>41930</v>
      </c>
      <c r="Q337" s="686">
        <v>23728.09</v>
      </c>
      <c r="R337" s="689">
        <f t="shared" si="719"/>
        <v>42294</v>
      </c>
      <c r="S337" s="719">
        <v>22367.7</v>
      </c>
      <c r="T337" s="689">
        <f t="shared" si="719"/>
        <v>42665</v>
      </c>
      <c r="U337" s="719">
        <v>22604.05</v>
      </c>
      <c r="V337" s="689">
        <f t="shared" ref="V337:Z337" si="730">V336+1</f>
        <v>43029</v>
      </c>
      <c r="W337" s="768">
        <v>22377.96</v>
      </c>
      <c r="X337" s="689">
        <f t="shared" ref="X337" si="731">X336+1</f>
        <v>43393</v>
      </c>
      <c r="Y337" s="768">
        <v>19785.66</v>
      </c>
      <c r="Z337" s="689">
        <f t="shared" si="730"/>
        <v>43757</v>
      </c>
      <c r="AA337" s="768">
        <v>26212.69</v>
      </c>
      <c r="AB337" s="689">
        <f t="shared" ref="AB337" si="732">AB336+1</f>
        <v>44121</v>
      </c>
      <c r="AC337" s="774"/>
      <c r="AD337" s="864"/>
      <c r="AJ337" s="751"/>
      <c r="AK337" s="752"/>
      <c r="AL337" s="753"/>
      <c r="AM337" s="762">
        <f t="shared" si="718"/>
        <v>0</v>
      </c>
      <c r="AN337" s="763">
        <f t="shared" si="723"/>
        <v>44485</v>
      </c>
    </row>
    <row r="338" spans="1:40" ht="15.75" hidden="1" thickBot="1">
      <c r="A338" s="12">
        <v>10</v>
      </c>
      <c r="B338" s="14">
        <v>3</v>
      </c>
      <c r="C338" s="14" t="s">
        <v>109</v>
      </c>
      <c r="D338" s="697">
        <v>39740</v>
      </c>
      <c r="E338" s="695">
        <v>5101.7</v>
      </c>
      <c r="F338" s="699">
        <v>40104</v>
      </c>
      <c r="G338" s="695">
        <v>2743.12</v>
      </c>
      <c r="H338" s="699">
        <v>40468</v>
      </c>
      <c r="I338" s="695">
        <v>6039.35</v>
      </c>
      <c r="J338" s="700">
        <v>40832</v>
      </c>
      <c r="K338" s="695">
        <v>3982.23</v>
      </c>
      <c r="L338" s="683">
        <v>41203</v>
      </c>
      <c r="M338" s="707">
        <v>8887.26</v>
      </c>
      <c r="N338" s="683">
        <v>41567</v>
      </c>
      <c r="O338" s="690">
        <v>9508.48</v>
      </c>
      <c r="P338" s="689">
        <v>41931</v>
      </c>
      <c r="Q338" s="686">
        <v>11236.94</v>
      </c>
      <c r="R338" s="761">
        <f t="shared" si="719"/>
        <v>42295</v>
      </c>
      <c r="S338" s="723">
        <v>10914.85</v>
      </c>
      <c r="T338" s="761">
        <f t="shared" si="719"/>
        <v>42666</v>
      </c>
      <c r="U338" s="719">
        <v>10004.299999999999</v>
      </c>
      <c r="V338" s="761">
        <f t="shared" ref="V338:Z338" si="733">V337+1</f>
        <v>43030</v>
      </c>
      <c r="W338" s="769">
        <v>11462.2</v>
      </c>
      <c r="X338" s="761">
        <f t="shared" ref="X338" si="734">X337+1</f>
        <v>43394</v>
      </c>
      <c r="Y338" s="769">
        <v>10664.75</v>
      </c>
      <c r="Z338" s="761">
        <f t="shared" si="733"/>
        <v>43758</v>
      </c>
      <c r="AA338" s="769">
        <v>11525.35</v>
      </c>
      <c r="AB338" s="761">
        <f t="shared" ref="AB338" si="735">AB337+1</f>
        <v>44122</v>
      </c>
      <c r="AC338" s="775"/>
      <c r="AD338" s="865"/>
      <c r="AE338" s="203">
        <f>SUM(E332:E338)</f>
        <v>87614.01</v>
      </c>
      <c r="AF338" s="203">
        <f>SUM(G332:G338)</f>
        <v>85583.34</v>
      </c>
      <c r="AG338" s="203">
        <f>SUM(I332:I338)</f>
        <v>78871.040000000008</v>
      </c>
      <c r="AH338" s="203">
        <f>SUM(K332:K338)</f>
        <v>94403.029999999984</v>
      </c>
      <c r="AI338" s="203">
        <f>SUM(M332:M338)</f>
        <v>89005.049999999988</v>
      </c>
      <c r="AJ338" s="751"/>
      <c r="AK338" s="752"/>
      <c r="AL338" s="754"/>
      <c r="AM338" s="762">
        <f t="shared" si="718"/>
        <v>0</v>
      </c>
      <c r="AN338" s="763">
        <f t="shared" si="723"/>
        <v>44486</v>
      </c>
    </row>
    <row r="339" spans="1:40" ht="15.75" hidden="1" thickBot="1">
      <c r="A339" s="7"/>
      <c r="C339" s="809" t="s">
        <v>282</v>
      </c>
      <c r="D339" s="810"/>
      <c r="E339" s="811"/>
      <c r="F339" s="810"/>
      <c r="G339" s="811"/>
      <c r="H339" s="810"/>
      <c r="I339" s="811"/>
      <c r="J339" s="812"/>
      <c r="K339" s="813"/>
      <c r="L339" s="812"/>
      <c r="M339" s="813"/>
      <c r="N339" s="812"/>
      <c r="O339" s="814">
        <f>SUM(O332:O338)</f>
        <v>102486.46</v>
      </c>
      <c r="P339" s="812"/>
      <c r="Q339" s="814">
        <f>SUM(Q332:Q338)</f>
        <v>110257.31</v>
      </c>
      <c r="R339" s="815"/>
      <c r="S339" s="816">
        <f>SUM(S332:S338)</f>
        <v>107429.07</v>
      </c>
      <c r="T339" s="815"/>
      <c r="U339" s="816">
        <f>SUM(U332:U338)</f>
        <v>103241.74</v>
      </c>
      <c r="V339" s="815"/>
      <c r="W339" s="816">
        <f>SUM(W332:W338)</f>
        <v>112772.68999999999</v>
      </c>
      <c r="X339" s="815"/>
      <c r="Y339" s="816">
        <f>SUM(Y332:Y338)</f>
        <v>110990.23000000001</v>
      </c>
      <c r="Z339" s="815"/>
      <c r="AA339" s="816">
        <f>SUM(AA332:AA338)</f>
        <v>120868.47</v>
      </c>
      <c r="AB339" s="815"/>
      <c r="AC339" s="816">
        <f>SUM(AC332:AC338)</f>
        <v>0</v>
      </c>
      <c r="AD339" s="758"/>
      <c r="AE339" s="203"/>
      <c r="AF339" s="203"/>
      <c r="AG339" s="203"/>
      <c r="AH339" s="203"/>
      <c r="AI339" s="203"/>
      <c r="AJ339" s="641">
        <f>SUM(AJ332:AJ338)</f>
        <v>0</v>
      </c>
      <c r="AK339" s="642">
        <f>SUM(AK332:AK338)</f>
        <v>0</v>
      </c>
      <c r="AL339" s="642">
        <f>SUM(AL332:AL338)</f>
        <v>0</v>
      </c>
      <c r="AM339" s="643">
        <f>SUM(AM332:AM338)</f>
        <v>0</v>
      </c>
    </row>
    <row r="340" spans="1:40" ht="15.75" hidden="1" thickBot="1">
      <c r="A340" s="5">
        <v>10</v>
      </c>
      <c r="B340" s="16">
        <v>4</v>
      </c>
      <c r="C340" s="16" t="s">
        <v>103</v>
      </c>
      <c r="D340" s="699">
        <v>39741</v>
      </c>
      <c r="E340" s="695">
        <v>6432.08</v>
      </c>
      <c r="F340" s="694">
        <v>40105</v>
      </c>
      <c r="G340" s="695">
        <v>8634.4500000000007</v>
      </c>
      <c r="H340" s="694">
        <v>40469</v>
      </c>
      <c r="I340" s="695">
        <v>5772.29</v>
      </c>
      <c r="J340" s="701">
        <v>40833</v>
      </c>
      <c r="K340" s="695">
        <v>7445.2</v>
      </c>
      <c r="L340" s="683">
        <v>41204</v>
      </c>
      <c r="M340" s="707">
        <v>8773.74</v>
      </c>
      <c r="N340" s="683">
        <v>41568</v>
      </c>
      <c r="O340" s="690">
        <v>9210.5</v>
      </c>
      <c r="P340" s="689">
        <v>41932</v>
      </c>
      <c r="Q340" s="686">
        <v>7625.26</v>
      </c>
      <c r="R340" s="635">
        <f>R338+1</f>
        <v>42296</v>
      </c>
      <c r="S340" s="717">
        <v>7899.35</v>
      </c>
      <c r="T340" s="635">
        <f>T338+1</f>
        <v>42667</v>
      </c>
      <c r="U340" s="717">
        <v>9465.85</v>
      </c>
      <c r="V340" s="635">
        <f>V338+1</f>
        <v>43031</v>
      </c>
      <c r="W340" s="767">
        <v>8613.1200000000008</v>
      </c>
      <c r="X340" s="635">
        <f>X338+1</f>
        <v>43395</v>
      </c>
      <c r="Y340" s="767">
        <v>9347.35</v>
      </c>
      <c r="Z340" s="635">
        <f>Z338+1</f>
        <v>43759</v>
      </c>
      <c r="AA340" s="767">
        <v>11252.24</v>
      </c>
      <c r="AB340" s="635">
        <f>AB338+1</f>
        <v>44123</v>
      </c>
      <c r="AC340" s="772"/>
      <c r="AD340" s="863" t="s">
        <v>152</v>
      </c>
      <c r="AJ340" s="751"/>
      <c r="AK340" s="752"/>
      <c r="AL340" s="752"/>
      <c r="AM340" s="762">
        <f t="shared" ref="AM340:AM346" si="736">SUM(AJ340:AL340)</f>
        <v>0</v>
      </c>
      <c r="AN340" s="763">
        <f>AN338+1</f>
        <v>44487</v>
      </c>
    </row>
    <row r="341" spans="1:40" hidden="1">
      <c r="A341" s="7">
        <v>10</v>
      </c>
      <c r="B341">
        <v>4</v>
      </c>
      <c r="C341" t="s">
        <v>104</v>
      </c>
      <c r="D341" s="694">
        <v>39742</v>
      </c>
      <c r="E341" s="695">
        <v>11337.88</v>
      </c>
      <c r="F341" s="697">
        <v>40106</v>
      </c>
      <c r="G341" s="695">
        <v>12837.42</v>
      </c>
      <c r="H341" s="697">
        <v>40470</v>
      </c>
      <c r="I341" s="695">
        <v>8958.82</v>
      </c>
      <c r="J341" s="683">
        <v>40834</v>
      </c>
      <c r="K341" s="695">
        <v>9098.2800000000007</v>
      </c>
      <c r="L341" s="683">
        <v>41205</v>
      </c>
      <c r="M341" s="707">
        <v>11367.46</v>
      </c>
      <c r="N341" s="683">
        <v>41569</v>
      </c>
      <c r="O341" s="690">
        <v>15148.6</v>
      </c>
      <c r="P341" s="689">
        <v>41933</v>
      </c>
      <c r="Q341" s="686">
        <v>7271.75</v>
      </c>
      <c r="R341" s="689">
        <f>R340+1</f>
        <v>42297</v>
      </c>
      <c r="S341" s="719">
        <v>14473.86</v>
      </c>
      <c r="T341" s="689">
        <f>T340+1</f>
        <v>42668</v>
      </c>
      <c r="U341" s="719">
        <v>12916.9</v>
      </c>
      <c r="V341" s="689">
        <f>V340+1</f>
        <v>43032</v>
      </c>
      <c r="W341" s="837">
        <v>13047.41</v>
      </c>
      <c r="X341" s="689">
        <f>X340+1</f>
        <v>43396</v>
      </c>
      <c r="Y341" s="837">
        <v>13295.06</v>
      </c>
      <c r="Z341" s="689">
        <f>Z340+1</f>
        <v>43760</v>
      </c>
      <c r="AA341" s="837">
        <v>13227.17</v>
      </c>
      <c r="AB341" s="689">
        <f>AB340+1</f>
        <v>44124</v>
      </c>
      <c r="AC341" s="818"/>
      <c r="AD341" s="864"/>
      <c r="AJ341" s="751"/>
      <c r="AK341" s="752"/>
      <c r="AL341" s="753"/>
      <c r="AM341" s="762">
        <f t="shared" si="736"/>
        <v>0</v>
      </c>
      <c r="AN341" s="763">
        <f>AN340+1</f>
        <v>44488</v>
      </c>
    </row>
    <row r="342" spans="1:40" hidden="1">
      <c r="A342" s="7">
        <v>10</v>
      </c>
      <c r="B342">
        <v>4</v>
      </c>
      <c r="C342" t="s">
        <v>105</v>
      </c>
      <c r="D342" s="697">
        <v>39743</v>
      </c>
      <c r="E342" s="695">
        <v>14867.37</v>
      </c>
      <c r="F342" s="697">
        <v>40107</v>
      </c>
      <c r="G342" s="695">
        <v>12890.31</v>
      </c>
      <c r="H342" s="697">
        <v>40471</v>
      </c>
      <c r="I342" s="695">
        <v>15849.37</v>
      </c>
      <c r="J342" s="683">
        <v>40835</v>
      </c>
      <c r="K342" s="695">
        <v>12936.25</v>
      </c>
      <c r="L342" s="683">
        <v>41206</v>
      </c>
      <c r="M342" s="707">
        <v>16156.51</v>
      </c>
      <c r="N342" s="683">
        <v>41570</v>
      </c>
      <c r="O342" s="690">
        <v>12150.67</v>
      </c>
      <c r="P342" s="689">
        <v>41934</v>
      </c>
      <c r="Q342" s="686">
        <v>16038.15</v>
      </c>
      <c r="R342" s="689">
        <f t="shared" ref="R342:T346" si="737">R341+1</f>
        <v>42298</v>
      </c>
      <c r="S342" s="719">
        <v>14468.5</v>
      </c>
      <c r="T342" s="689">
        <f t="shared" si="737"/>
        <v>42669</v>
      </c>
      <c r="U342" s="719">
        <v>17142.55</v>
      </c>
      <c r="V342" s="689">
        <f t="shared" ref="V342:Z342" si="738">V341+1</f>
        <v>43033</v>
      </c>
      <c r="W342" s="768">
        <v>13693.62</v>
      </c>
      <c r="X342" s="689">
        <f t="shared" ref="X342" si="739">X341+1</f>
        <v>43397</v>
      </c>
      <c r="Y342" s="768">
        <v>13299.14</v>
      </c>
      <c r="Z342" s="689">
        <f t="shared" si="738"/>
        <v>43761</v>
      </c>
      <c r="AA342" s="768">
        <v>13297.55</v>
      </c>
      <c r="AB342" s="689">
        <f t="shared" ref="AB342" si="740">AB341+1</f>
        <v>44125</v>
      </c>
      <c r="AC342" s="774"/>
      <c r="AD342" s="864"/>
      <c r="AJ342" s="751"/>
      <c r="AK342" s="752"/>
      <c r="AL342" s="753"/>
      <c r="AM342" s="762">
        <f t="shared" si="736"/>
        <v>0</v>
      </c>
      <c r="AN342" s="763">
        <f t="shared" ref="AN342:AN346" si="741">AN341+1</f>
        <v>44489</v>
      </c>
    </row>
    <row r="343" spans="1:40" hidden="1">
      <c r="A343" s="7">
        <v>10</v>
      </c>
      <c r="B343">
        <v>4</v>
      </c>
      <c r="C343" t="s">
        <v>106</v>
      </c>
      <c r="D343" s="697">
        <v>39744</v>
      </c>
      <c r="E343" s="695">
        <v>12864.6</v>
      </c>
      <c r="F343" s="697">
        <v>40108</v>
      </c>
      <c r="G343" s="695">
        <v>13570.62</v>
      </c>
      <c r="H343" s="697">
        <v>40472</v>
      </c>
      <c r="I343" s="695">
        <v>8410.3700000000008</v>
      </c>
      <c r="J343" s="683">
        <v>40836</v>
      </c>
      <c r="K343" s="695">
        <v>14944.3</v>
      </c>
      <c r="L343" s="683">
        <v>41207</v>
      </c>
      <c r="M343" s="707">
        <v>14069.95</v>
      </c>
      <c r="N343" s="683">
        <v>41571</v>
      </c>
      <c r="O343" s="690">
        <v>11442.35</v>
      </c>
      <c r="P343" s="689">
        <v>41935</v>
      </c>
      <c r="Q343" s="686">
        <v>10522.85</v>
      </c>
      <c r="R343" s="689">
        <f t="shared" si="737"/>
        <v>42299</v>
      </c>
      <c r="S343" s="719">
        <v>10989.36</v>
      </c>
      <c r="T343" s="689">
        <f t="shared" si="737"/>
        <v>42670</v>
      </c>
      <c r="U343" s="719">
        <v>18053.099999999999</v>
      </c>
      <c r="V343" s="689">
        <f t="shared" ref="V343:Z343" si="742">V342+1</f>
        <v>43034</v>
      </c>
      <c r="W343" s="768">
        <v>19483.900000000001</v>
      </c>
      <c r="X343" s="689">
        <f t="shared" ref="X343" si="743">X342+1</f>
        <v>43398</v>
      </c>
      <c r="Y343" s="768">
        <v>18367.8</v>
      </c>
      <c r="Z343" s="689">
        <f t="shared" si="742"/>
        <v>43762</v>
      </c>
      <c r="AA343" s="768">
        <v>17547.759999999998</v>
      </c>
      <c r="AB343" s="689">
        <f t="shared" ref="AB343" si="744">AB342+1</f>
        <v>44126</v>
      </c>
      <c r="AC343" s="774"/>
      <c r="AD343" s="864"/>
      <c r="AJ343" s="751"/>
      <c r="AK343" s="752"/>
      <c r="AL343" s="753"/>
      <c r="AM343" s="762">
        <f t="shared" si="736"/>
        <v>0</v>
      </c>
      <c r="AN343" s="763">
        <f t="shared" si="741"/>
        <v>44490</v>
      </c>
    </row>
    <row r="344" spans="1:40" hidden="1">
      <c r="A344" s="7">
        <v>10</v>
      </c>
      <c r="B344">
        <v>4</v>
      </c>
      <c r="C344" t="s">
        <v>107</v>
      </c>
      <c r="D344" s="697">
        <v>39745</v>
      </c>
      <c r="E344" s="695">
        <v>18029.240000000002</v>
      </c>
      <c r="F344" s="697">
        <v>40109</v>
      </c>
      <c r="G344" s="695">
        <v>17596.63</v>
      </c>
      <c r="H344" s="697">
        <v>40473</v>
      </c>
      <c r="I344" s="695">
        <v>13665.24</v>
      </c>
      <c r="J344" s="683">
        <v>40837</v>
      </c>
      <c r="K344" s="695">
        <v>19886.82</v>
      </c>
      <c r="L344" s="683">
        <v>41208</v>
      </c>
      <c r="M344" s="707">
        <v>14183.12</v>
      </c>
      <c r="N344" s="683">
        <v>41572</v>
      </c>
      <c r="O344" s="690">
        <v>17077.3</v>
      </c>
      <c r="P344" s="689">
        <v>41936</v>
      </c>
      <c r="Q344" s="686">
        <v>22103.15</v>
      </c>
      <c r="R344" s="689">
        <f t="shared" si="737"/>
        <v>42300</v>
      </c>
      <c r="S344" s="719">
        <v>22272.66</v>
      </c>
      <c r="T344" s="689">
        <f t="shared" si="737"/>
        <v>42671</v>
      </c>
      <c r="U344" s="719">
        <v>18987.349999999999</v>
      </c>
      <c r="V344" s="689">
        <f t="shared" ref="V344:Z344" si="745">V343+1</f>
        <v>43035</v>
      </c>
      <c r="W344" s="768">
        <v>21982.13</v>
      </c>
      <c r="X344" s="689">
        <f t="shared" ref="X344" si="746">X343+1</f>
        <v>43399</v>
      </c>
      <c r="Y344" s="768">
        <v>18681.650000000001</v>
      </c>
      <c r="Z344" s="689">
        <f t="shared" si="745"/>
        <v>43763</v>
      </c>
      <c r="AA344" s="768">
        <v>20069.14</v>
      </c>
      <c r="AB344" s="689">
        <f t="shared" ref="AB344" si="747">AB343+1</f>
        <v>44127</v>
      </c>
      <c r="AC344" s="774"/>
      <c r="AD344" s="864"/>
      <c r="AJ344" s="751"/>
      <c r="AK344" s="752"/>
      <c r="AL344" s="753"/>
      <c r="AM344" s="762">
        <f t="shared" si="736"/>
        <v>0</v>
      </c>
      <c r="AN344" s="763">
        <f t="shared" si="741"/>
        <v>44491</v>
      </c>
    </row>
    <row r="345" spans="1:40" hidden="1">
      <c r="A345" s="7">
        <v>10</v>
      </c>
      <c r="B345">
        <v>4</v>
      </c>
      <c r="C345" t="s">
        <v>108</v>
      </c>
      <c r="D345" s="697">
        <v>39746</v>
      </c>
      <c r="E345" s="695">
        <v>18041.310000000001</v>
      </c>
      <c r="F345" s="697">
        <v>40110</v>
      </c>
      <c r="G345" s="695">
        <v>19305.32</v>
      </c>
      <c r="H345" s="697">
        <v>40474</v>
      </c>
      <c r="I345" s="695">
        <v>19545.169999999998</v>
      </c>
      <c r="J345" s="683">
        <v>40838</v>
      </c>
      <c r="K345" s="695">
        <v>20739.22</v>
      </c>
      <c r="L345" s="683">
        <v>41209</v>
      </c>
      <c r="M345" s="707">
        <v>15178.85</v>
      </c>
      <c r="N345" s="683">
        <v>41573</v>
      </c>
      <c r="O345" s="690">
        <v>18929.25</v>
      </c>
      <c r="P345" s="689">
        <v>41937</v>
      </c>
      <c r="Q345" s="686">
        <v>20283.96</v>
      </c>
      <c r="R345" s="689">
        <f t="shared" si="737"/>
        <v>42301</v>
      </c>
      <c r="S345" s="719">
        <v>20357.400000000001</v>
      </c>
      <c r="T345" s="689">
        <f t="shared" si="737"/>
        <v>42672</v>
      </c>
      <c r="U345" s="719">
        <v>16844.02</v>
      </c>
      <c r="V345" s="689">
        <f t="shared" ref="V345:Z345" si="748">V344+1</f>
        <v>43036</v>
      </c>
      <c r="W345" s="768">
        <v>21062.2</v>
      </c>
      <c r="X345" s="689">
        <f t="shared" ref="X345" si="749">X344+1</f>
        <v>43400</v>
      </c>
      <c r="Y345" s="768">
        <v>18316.46</v>
      </c>
      <c r="Z345" s="689">
        <f t="shared" si="748"/>
        <v>43764</v>
      </c>
      <c r="AA345" s="768">
        <v>22128.71</v>
      </c>
      <c r="AB345" s="689">
        <f t="shared" ref="AB345" si="750">AB344+1</f>
        <v>44128</v>
      </c>
      <c r="AC345" s="774"/>
      <c r="AD345" s="864"/>
      <c r="AJ345" s="751"/>
      <c r="AK345" s="752"/>
      <c r="AL345" s="753"/>
      <c r="AM345" s="762">
        <f t="shared" si="736"/>
        <v>0</v>
      </c>
      <c r="AN345" s="763">
        <f t="shared" si="741"/>
        <v>44492</v>
      </c>
    </row>
    <row r="346" spans="1:40" ht="15.75" hidden="1" thickBot="1">
      <c r="A346" s="12">
        <v>10</v>
      </c>
      <c r="B346" s="14">
        <v>4</v>
      </c>
      <c r="C346" s="14" t="s">
        <v>109</v>
      </c>
      <c r="D346" s="697">
        <v>39747</v>
      </c>
      <c r="E346" s="695">
        <v>2761.46</v>
      </c>
      <c r="F346" s="699">
        <v>40111</v>
      </c>
      <c r="G346" s="695">
        <v>5317.06</v>
      </c>
      <c r="H346" s="699">
        <v>40475</v>
      </c>
      <c r="I346" s="695">
        <v>4002.65</v>
      </c>
      <c r="J346" s="700">
        <v>40839</v>
      </c>
      <c r="K346" s="695">
        <v>6888.25</v>
      </c>
      <c r="L346" s="683">
        <v>41210</v>
      </c>
      <c r="M346" s="707">
        <v>3856.46</v>
      </c>
      <c r="N346" s="683">
        <v>41574</v>
      </c>
      <c r="O346" s="690">
        <v>6937.81</v>
      </c>
      <c r="P346" s="689">
        <v>41938</v>
      </c>
      <c r="Q346" s="686">
        <v>9701.4500000000007</v>
      </c>
      <c r="R346" s="761">
        <f t="shared" si="737"/>
        <v>42302</v>
      </c>
      <c r="S346" s="723">
        <v>11318</v>
      </c>
      <c r="T346" s="761">
        <f t="shared" si="737"/>
        <v>42673</v>
      </c>
      <c r="U346" s="723">
        <v>3642.85</v>
      </c>
      <c r="V346" s="761">
        <f t="shared" ref="V346:Z346" si="751">V345+1</f>
        <v>43037</v>
      </c>
      <c r="W346" s="769">
        <v>9739.51</v>
      </c>
      <c r="X346" s="761">
        <f t="shared" ref="X346" si="752">X345+1</f>
        <v>43401</v>
      </c>
      <c r="Y346" s="769">
        <v>11860.21</v>
      </c>
      <c r="Z346" s="761">
        <f t="shared" si="751"/>
        <v>43765</v>
      </c>
      <c r="AA346" s="769">
        <v>9340.91</v>
      </c>
      <c r="AB346" s="761">
        <f t="shared" ref="AB346" si="753">AB345+1</f>
        <v>44129</v>
      </c>
      <c r="AC346" s="775"/>
      <c r="AD346" s="865"/>
      <c r="AE346" s="203">
        <f>SUM(E340:E346)</f>
        <v>84333.94</v>
      </c>
      <c r="AF346" s="203">
        <f>SUM(G340:G346)</f>
        <v>90151.81</v>
      </c>
      <c r="AG346" s="203">
        <f>SUM(I340:I346)</f>
        <v>76203.91</v>
      </c>
      <c r="AH346" s="203">
        <f>SUM(K340:K346)</f>
        <v>91938.32</v>
      </c>
      <c r="AI346" s="203">
        <f>SUM(M340:M346)</f>
        <v>83586.090000000011</v>
      </c>
      <c r="AJ346" s="751"/>
      <c r="AK346" s="752"/>
      <c r="AL346" s="754"/>
      <c r="AM346" s="762">
        <f t="shared" si="736"/>
        <v>0</v>
      </c>
      <c r="AN346" s="763">
        <f t="shared" si="741"/>
        <v>44493</v>
      </c>
    </row>
    <row r="347" spans="1:40" ht="15.75" hidden="1" thickBot="1">
      <c r="A347" s="7"/>
      <c r="C347" s="809" t="s">
        <v>282</v>
      </c>
      <c r="D347" s="810"/>
      <c r="E347" s="811"/>
      <c r="F347" s="810"/>
      <c r="G347" s="811"/>
      <c r="H347" s="810"/>
      <c r="I347" s="811"/>
      <c r="J347" s="812"/>
      <c r="K347" s="813"/>
      <c r="L347" s="812"/>
      <c r="M347" s="813"/>
      <c r="N347" s="812"/>
      <c r="O347" s="814">
        <f>SUM(O340:O346)</f>
        <v>90896.48</v>
      </c>
      <c r="P347" s="812"/>
      <c r="Q347" s="814">
        <f>SUM(Q340:Q346)</f>
        <v>93546.569999999992</v>
      </c>
      <c r="R347" s="815"/>
      <c r="S347" s="816">
        <f>SUM(S340:S346)</f>
        <v>101779.13</v>
      </c>
      <c r="T347" s="815"/>
      <c r="U347" s="816">
        <f>SUM(U340:U346)</f>
        <v>97052.62000000001</v>
      </c>
      <c r="V347" s="815"/>
      <c r="W347" s="816">
        <f>SUM(W340:W346)</f>
        <v>107621.89</v>
      </c>
      <c r="X347" s="815"/>
      <c r="Y347" s="816">
        <f>SUM(Y340:Y346)</f>
        <v>103167.66999999998</v>
      </c>
      <c r="Z347" s="815"/>
      <c r="AA347" s="816">
        <f>SUM(AA340:AA346)</f>
        <v>106863.48000000001</v>
      </c>
      <c r="AB347" s="815"/>
      <c r="AC347" s="816">
        <f>SUM(AC340:AC346)</f>
        <v>0</v>
      </c>
      <c r="AD347" s="819"/>
      <c r="AE347" s="203"/>
      <c r="AF347" s="203"/>
      <c r="AG347" s="203"/>
      <c r="AH347" s="203"/>
      <c r="AI347" s="203"/>
      <c r="AJ347" s="641">
        <f>SUM(AJ340:AJ346)</f>
        <v>0</v>
      </c>
      <c r="AK347" s="642">
        <f>SUM(AK340:AK346)</f>
        <v>0</v>
      </c>
      <c r="AL347" s="642">
        <f>SUM(AL340:AL346)</f>
        <v>0</v>
      </c>
      <c r="AM347" s="643">
        <f>SUM(AM340:AM346)</f>
        <v>0</v>
      </c>
    </row>
    <row r="348" spans="1:40" ht="15.75" hidden="1" thickBot="1">
      <c r="A348" s="5">
        <v>11</v>
      </c>
      <c r="B348" s="16">
        <v>1</v>
      </c>
      <c r="C348" s="16" t="s">
        <v>103</v>
      </c>
      <c r="D348" s="699">
        <v>39748</v>
      </c>
      <c r="E348" s="695">
        <v>10274.790000000001</v>
      </c>
      <c r="F348" s="694">
        <v>40112</v>
      </c>
      <c r="G348" s="695">
        <v>10011.86</v>
      </c>
      <c r="H348" s="694">
        <v>40476</v>
      </c>
      <c r="I348" s="695">
        <v>8747.91</v>
      </c>
      <c r="J348" s="701">
        <v>40840</v>
      </c>
      <c r="K348" s="695">
        <v>9321.94</v>
      </c>
      <c r="L348" s="683">
        <v>41211</v>
      </c>
      <c r="M348" s="707">
        <v>0</v>
      </c>
      <c r="N348" s="683">
        <v>41575</v>
      </c>
      <c r="O348" s="690">
        <v>8330.9500000000007</v>
      </c>
      <c r="P348" s="689">
        <v>41939</v>
      </c>
      <c r="Q348" s="686">
        <v>9209.5499999999993</v>
      </c>
      <c r="R348" s="635">
        <f>R346+1</f>
        <v>42303</v>
      </c>
      <c r="S348" s="717">
        <v>10399.85</v>
      </c>
      <c r="T348" s="635">
        <f>T346+1</f>
        <v>42674</v>
      </c>
      <c r="U348" s="717"/>
      <c r="V348" s="635">
        <f>V346+1</f>
        <v>43038</v>
      </c>
      <c r="W348" s="767">
        <v>10812.7</v>
      </c>
      <c r="X348" s="635">
        <f>X346+1</f>
        <v>43402</v>
      </c>
      <c r="Y348" s="767">
        <v>9784.65</v>
      </c>
      <c r="Z348" s="635">
        <f>Z346+1</f>
        <v>43766</v>
      </c>
      <c r="AA348" s="767">
        <v>11410.34</v>
      </c>
      <c r="AB348" s="635">
        <f>AB346+1</f>
        <v>44130</v>
      </c>
      <c r="AC348" s="772"/>
      <c r="AD348" s="863" t="s">
        <v>153</v>
      </c>
      <c r="AJ348" s="751"/>
      <c r="AK348" s="752"/>
      <c r="AL348" s="752"/>
      <c r="AM348" s="762">
        <f t="shared" ref="AM348:AM354" si="754">SUM(AJ348:AL348)</f>
        <v>0</v>
      </c>
      <c r="AN348" s="763">
        <f>AN346+1</f>
        <v>44494</v>
      </c>
    </row>
    <row r="349" spans="1:40" hidden="1">
      <c r="A349" s="7">
        <v>11</v>
      </c>
      <c r="B349">
        <v>1</v>
      </c>
      <c r="C349" t="s">
        <v>104</v>
      </c>
      <c r="D349" s="694">
        <v>39749</v>
      </c>
      <c r="E349" s="695">
        <v>10384.09</v>
      </c>
      <c r="F349" s="697">
        <v>40113</v>
      </c>
      <c r="G349" s="695">
        <v>9361.2099999999991</v>
      </c>
      <c r="H349" s="697">
        <v>40477</v>
      </c>
      <c r="I349" s="695">
        <v>8940.2199999999993</v>
      </c>
      <c r="J349" s="683">
        <v>40841</v>
      </c>
      <c r="K349" s="695">
        <v>14292.45</v>
      </c>
      <c r="L349" s="683">
        <v>41212</v>
      </c>
      <c r="M349" s="707">
        <v>0</v>
      </c>
      <c r="N349" s="683">
        <v>41576</v>
      </c>
      <c r="O349" s="690">
        <v>18528.580000000002</v>
      </c>
      <c r="P349" s="689">
        <v>41940</v>
      </c>
      <c r="Q349" s="686">
        <v>12129.7</v>
      </c>
      <c r="R349" s="689">
        <f>R348+1</f>
        <v>42304</v>
      </c>
      <c r="S349" s="719">
        <v>20007.919999999998</v>
      </c>
      <c r="T349" s="689">
        <f>T348+1</f>
        <v>42675</v>
      </c>
      <c r="U349" s="719"/>
      <c r="V349" s="689">
        <f>V348+1</f>
        <v>43039</v>
      </c>
      <c r="W349" s="837">
        <v>11043.9</v>
      </c>
      <c r="X349" s="689">
        <f>X348+1</f>
        <v>43403</v>
      </c>
      <c r="Y349" s="837">
        <v>10747.66</v>
      </c>
      <c r="Z349" s="689">
        <f>Z348+1</f>
        <v>43767</v>
      </c>
      <c r="AA349" s="837">
        <v>13738.15</v>
      </c>
      <c r="AB349" s="689">
        <f>AB348+1</f>
        <v>44131</v>
      </c>
      <c r="AC349" s="818"/>
      <c r="AD349" s="864"/>
      <c r="AJ349" s="751"/>
      <c r="AK349" s="752"/>
      <c r="AL349" s="753"/>
      <c r="AM349" s="762">
        <f t="shared" si="754"/>
        <v>0</v>
      </c>
      <c r="AN349" s="763">
        <f>AN348+1</f>
        <v>44495</v>
      </c>
    </row>
    <row r="350" spans="1:40" hidden="1">
      <c r="A350" s="7">
        <v>11</v>
      </c>
      <c r="B350">
        <v>1</v>
      </c>
      <c r="C350" t="s">
        <v>105</v>
      </c>
      <c r="D350" s="697">
        <v>39750</v>
      </c>
      <c r="E350" s="695">
        <v>8787.92</v>
      </c>
      <c r="F350" s="697">
        <v>40114</v>
      </c>
      <c r="G350" s="695">
        <v>8963.6299999999992</v>
      </c>
      <c r="H350" s="697">
        <v>40478</v>
      </c>
      <c r="I350" s="695">
        <v>10024.450000000001</v>
      </c>
      <c r="J350" s="683">
        <v>40842</v>
      </c>
      <c r="K350" s="695">
        <v>15072.45</v>
      </c>
      <c r="L350" s="683">
        <v>41213</v>
      </c>
      <c r="M350" s="707">
        <v>5201.8</v>
      </c>
      <c r="N350" s="683">
        <v>41577</v>
      </c>
      <c r="O350" s="690">
        <v>11727.9</v>
      </c>
      <c r="P350" s="689">
        <v>41941</v>
      </c>
      <c r="Q350" s="686">
        <v>12584.91</v>
      </c>
      <c r="R350" s="689">
        <f t="shared" ref="R350:T354" si="755">R349+1</f>
        <v>42305</v>
      </c>
      <c r="S350" s="719">
        <v>9924.65</v>
      </c>
      <c r="T350" s="689">
        <f t="shared" si="755"/>
        <v>42676</v>
      </c>
      <c r="U350" s="719">
        <v>11805.5</v>
      </c>
      <c r="V350" s="689">
        <f t="shared" ref="V350:Z350" si="756">V349+1</f>
        <v>43040</v>
      </c>
      <c r="W350" s="768">
        <v>14690.11</v>
      </c>
      <c r="X350" s="689">
        <f t="shared" ref="X350" si="757">X349+1</f>
        <v>43404</v>
      </c>
      <c r="Y350" s="768">
        <v>12124.13</v>
      </c>
      <c r="Z350" s="689">
        <f t="shared" si="756"/>
        <v>43768</v>
      </c>
      <c r="AA350" s="768">
        <v>13994</v>
      </c>
      <c r="AB350" s="689">
        <f t="shared" ref="AB350" si="758">AB349+1</f>
        <v>44132</v>
      </c>
      <c r="AC350" s="774"/>
      <c r="AD350" s="864"/>
      <c r="AJ350" s="751"/>
      <c r="AK350" s="752"/>
      <c r="AL350" s="753"/>
      <c r="AM350" s="762">
        <f t="shared" si="754"/>
        <v>0</v>
      </c>
      <c r="AN350" s="763">
        <f t="shared" ref="AN350:AN354" si="759">AN349+1</f>
        <v>44496</v>
      </c>
    </row>
    <row r="351" spans="1:40" hidden="1">
      <c r="A351" s="7">
        <v>11</v>
      </c>
      <c r="B351">
        <v>1</v>
      </c>
      <c r="C351" t="s">
        <v>106</v>
      </c>
      <c r="D351" s="697">
        <v>39751</v>
      </c>
      <c r="E351" s="695">
        <v>12435.67</v>
      </c>
      <c r="F351" s="697">
        <v>40115</v>
      </c>
      <c r="G351" s="695">
        <v>12153.36</v>
      </c>
      <c r="H351" s="697">
        <v>40479</v>
      </c>
      <c r="I351" s="695">
        <v>13481.48</v>
      </c>
      <c r="J351" s="683">
        <v>40843</v>
      </c>
      <c r="K351" s="695">
        <v>11434.47</v>
      </c>
      <c r="L351" s="683">
        <v>41214</v>
      </c>
      <c r="M351" s="707">
        <v>11764.61</v>
      </c>
      <c r="N351" s="683">
        <v>41578</v>
      </c>
      <c r="O351" s="690">
        <v>8037.6</v>
      </c>
      <c r="P351" s="689">
        <v>41942</v>
      </c>
      <c r="Q351" s="686">
        <v>14191.45</v>
      </c>
      <c r="R351" s="689">
        <f t="shared" si="755"/>
        <v>42306</v>
      </c>
      <c r="S351" s="719">
        <v>17939.599999999999</v>
      </c>
      <c r="T351" s="689">
        <f t="shared" si="755"/>
        <v>42677</v>
      </c>
      <c r="U351" s="719">
        <v>13346.81</v>
      </c>
      <c r="V351" s="689">
        <f t="shared" ref="V351:Z351" si="760">V350+1</f>
        <v>43041</v>
      </c>
      <c r="W351" s="768">
        <v>13033.16</v>
      </c>
      <c r="X351" s="689">
        <f t="shared" ref="X351" si="761">X350+1</f>
        <v>43405</v>
      </c>
      <c r="Y351" s="768">
        <v>12984.49</v>
      </c>
      <c r="Z351" s="689">
        <f t="shared" si="760"/>
        <v>43769</v>
      </c>
      <c r="AA351" s="768">
        <v>12157.36</v>
      </c>
      <c r="AB351" s="689">
        <f t="shared" ref="AB351" si="762">AB350+1</f>
        <v>44133</v>
      </c>
      <c r="AC351" s="774"/>
      <c r="AD351" s="864"/>
      <c r="AJ351" s="751"/>
      <c r="AK351" s="752"/>
      <c r="AL351" s="753"/>
      <c r="AM351" s="762">
        <f t="shared" si="754"/>
        <v>0</v>
      </c>
      <c r="AN351" s="763">
        <f t="shared" si="759"/>
        <v>44497</v>
      </c>
    </row>
    <row r="352" spans="1:40" hidden="1">
      <c r="A352" s="7">
        <v>11</v>
      </c>
      <c r="B352">
        <v>1</v>
      </c>
      <c r="C352" t="s">
        <v>107</v>
      </c>
      <c r="D352" s="697">
        <v>39752</v>
      </c>
      <c r="E352" s="695">
        <v>13221.54</v>
      </c>
      <c r="F352" s="697">
        <v>40116</v>
      </c>
      <c r="G352" s="695">
        <v>16904.63</v>
      </c>
      <c r="H352" s="697">
        <v>40480</v>
      </c>
      <c r="I352" s="695">
        <v>20384.580000000002</v>
      </c>
      <c r="J352" s="683">
        <v>40844</v>
      </c>
      <c r="K352" s="695">
        <v>17132.11</v>
      </c>
      <c r="L352" s="683">
        <v>41215</v>
      </c>
      <c r="M352" s="707">
        <v>19934.349999999999</v>
      </c>
      <c r="N352" s="683">
        <v>41579</v>
      </c>
      <c r="O352" s="690">
        <v>18887.150000000001</v>
      </c>
      <c r="P352" s="689">
        <v>41943</v>
      </c>
      <c r="Q352" s="686">
        <v>15103.77</v>
      </c>
      <c r="R352" s="689">
        <f t="shared" si="755"/>
        <v>42307</v>
      </c>
      <c r="S352" s="719">
        <v>9033.7000000000007</v>
      </c>
      <c r="T352" s="689">
        <f t="shared" si="755"/>
        <v>42678</v>
      </c>
      <c r="U352" s="719">
        <v>19993.099999999999</v>
      </c>
      <c r="V352" s="689">
        <f t="shared" ref="V352:Z352" si="763">V351+1</f>
        <v>43042</v>
      </c>
      <c r="W352" s="768">
        <v>20091.5</v>
      </c>
      <c r="X352" s="689">
        <f t="shared" ref="X352" si="764">X351+1</f>
        <v>43406</v>
      </c>
      <c r="Y352" s="768">
        <v>22154.080000000002</v>
      </c>
      <c r="Z352" s="689">
        <f t="shared" si="763"/>
        <v>43770</v>
      </c>
      <c r="AA352" s="768">
        <v>20933.169999999998</v>
      </c>
      <c r="AB352" s="689">
        <f t="shared" ref="AB352" si="765">AB351+1</f>
        <v>44134</v>
      </c>
      <c r="AC352" s="774"/>
      <c r="AD352" s="864"/>
      <c r="AJ352" s="751"/>
      <c r="AK352" s="752"/>
      <c r="AL352" s="753"/>
      <c r="AM352" s="762">
        <f t="shared" si="754"/>
        <v>0</v>
      </c>
      <c r="AN352" s="763">
        <f t="shared" si="759"/>
        <v>44498</v>
      </c>
    </row>
    <row r="353" spans="1:40" hidden="1">
      <c r="A353" s="7">
        <v>11</v>
      </c>
      <c r="B353">
        <v>1</v>
      </c>
      <c r="C353" t="s">
        <v>108</v>
      </c>
      <c r="D353" s="697">
        <v>39753</v>
      </c>
      <c r="E353" s="695">
        <v>21577.8</v>
      </c>
      <c r="F353" s="697">
        <v>40117</v>
      </c>
      <c r="G353" s="695">
        <v>12482.63</v>
      </c>
      <c r="H353" s="697">
        <v>40481</v>
      </c>
      <c r="I353" s="695">
        <v>18206.490000000002</v>
      </c>
      <c r="J353" s="683">
        <v>40845</v>
      </c>
      <c r="K353" s="695">
        <v>1672.1</v>
      </c>
      <c r="L353" s="683">
        <v>41216</v>
      </c>
      <c r="M353" s="707">
        <v>21323.96</v>
      </c>
      <c r="N353" s="683">
        <v>41580</v>
      </c>
      <c r="O353" s="690">
        <v>16605.5</v>
      </c>
      <c r="P353" s="689">
        <v>41944</v>
      </c>
      <c r="Q353" s="686">
        <v>22395.55</v>
      </c>
      <c r="R353" s="689">
        <f t="shared" si="755"/>
        <v>42308</v>
      </c>
      <c r="S353" s="719">
        <v>13023.53</v>
      </c>
      <c r="T353" s="689">
        <f t="shared" si="755"/>
        <v>42679</v>
      </c>
      <c r="U353" s="719">
        <v>19375.72</v>
      </c>
      <c r="V353" s="689">
        <f t="shared" ref="V353:Z353" si="766">V352+1</f>
        <v>43043</v>
      </c>
      <c r="W353" s="768">
        <v>25368.65</v>
      </c>
      <c r="X353" s="689">
        <f t="shared" ref="X353" si="767">X352+1</f>
        <v>43407</v>
      </c>
      <c r="Y353" s="768">
        <v>18850.71</v>
      </c>
      <c r="Z353" s="689">
        <f t="shared" si="766"/>
        <v>43771</v>
      </c>
      <c r="AA353" s="768">
        <v>25666.52</v>
      </c>
      <c r="AB353" s="689">
        <f t="shared" ref="AB353" si="768">AB352+1</f>
        <v>44135</v>
      </c>
      <c r="AC353" s="774"/>
      <c r="AD353" s="864"/>
      <c r="AJ353" s="751"/>
      <c r="AK353" s="752"/>
      <c r="AL353" s="753"/>
      <c r="AM353" s="762">
        <f t="shared" si="754"/>
        <v>0</v>
      </c>
      <c r="AN353" s="763">
        <f t="shared" si="759"/>
        <v>44499</v>
      </c>
    </row>
    <row r="354" spans="1:40" ht="15.75" hidden="1" thickBot="1">
      <c r="A354" s="12">
        <v>11</v>
      </c>
      <c r="B354" s="14">
        <v>1</v>
      </c>
      <c r="C354" s="14" t="s">
        <v>109</v>
      </c>
      <c r="D354" s="697">
        <v>39754</v>
      </c>
      <c r="E354" s="695">
        <v>6487.6</v>
      </c>
      <c r="F354" s="699">
        <v>40118</v>
      </c>
      <c r="G354" s="695">
        <v>3176.13</v>
      </c>
      <c r="H354" s="699">
        <v>40482</v>
      </c>
      <c r="I354" s="695">
        <v>2557.96</v>
      </c>
      <c r="J354" s="700">
        <v>40846</v>
      </c>
      <c r="K354" s="680">
        <v>0</v>
      </c>
      <c r="L354" s="683">
        <v>41217</v>
      </c>
      <c r="M354" s="680">
        <v>6401.65</v>
      </c>
      <c r="N354" s="683">
        <v>41581</v>
      </c>
      <c r="O354" s="679">
        <v>7297.35</v>
      </c>
      <c r="P354" s="689">
        <v>41945</v>
      </c>
      <c r="Q354" s="685">
        <v>12098.46</v>
      </c>
      <c r="R354" s="761">
        <f t="shared" si="755"/>
        <v>42309</v>
      </c>
      <c r="S354" s="723">
        <v>11099.98</v>
      </c>
      <c r="T354" s="761">
        <f t="shared" si="755"/>
        <v>42680</v>
      </c>
      <c r="U354" s="723">
        <v>11648.52</v>
      </c>
      <c r="V354" s="761">
        <f t="shared" ref="V354:Z354" si="769">V353+1</f>
        <v>43044</v>
      </c>
      <c r="W354" s="769">
        <v>12036.55</v>
      </c>
      <c r="X354" s="761">
        <f t="shared" ref="X354" si="770">X353+1</f>
        <v>43408</v>
      </c>
      <c r="Y354" s="769">
        <v>11111.12</v>
      </c>
      <c r="Z354" s="761">
        <f t="shared" si="769"/>
        <v>43772</v>
      </c>
      <c r="AA354" s="769">
        <v>12161.65</v>
      </c>
      <c r="AB354" s="761">
        <f t="shared" ref="AB354" si="771">AB353+1</f>
        <v>44136</v>
      </c>
      <c r="AC354" s="775"/>
      <c r="AD354" s="865"/>
      <c r="AE354" s="203">
        <f>SUM(E348:E354)</f>
        <v>83169.41</v>
      </c>
      <c r="AF354" s="203">
        <f>SUM(G348:G354)</f>
        <v>73053.450000000012</v>
      </c>
      <c r="AG354" s="203">
        <f>SUM(I348:I354)</f>
        <v>82343.090000000011</v>
      </c>
      <c r="AH354" s="203">
        <f>SUM(K348:K354)</f>
        <v>68925.52</v>
      </c>
      <c r="AI354" s="203">
        <f>SUM(M348:M354)</f>
        <v>64626.369999999995</v>
      </c>
      <c r="AJ354" s="751"/>
      <c r="AK354" s="752"/>
      <c r="AL354" s="754"/>
      <c r="AM354" s="762">
        <f t="shared" si="754"/>
        <v>0</v>
      </c>
      <c r="AN354" s="763">
        <f t="shared" si="759"/>
        <v>44500</v>
      </c>
    </row>
    <row r="355" spans="1:40" ht="15.75" hidden="1" thickBot="1">
      <c r="A355" s="7"/>
      <c r="C355" s="809" t="s">
        <v>282</v>
      </c>
      <c r="D355" s="810"/>
      <c r="E355" s="811"/>
      <c r="F355" s="810"/>
      <c r="G355" s="811"/>
      <c r="H355" s="810"/>
      <c r="I355" s="811"/>
      <c r="J355" s="812"/>
      <c r="K355" s="813"/>
      <c r="L355" s="812"/>
      <c r="M355" s="813"/>
      <c r="N355" s="812"/>
      <c r="O355" s="814">
        <f>SUM(O348:O354)</f>
        <v>89415.03</v>
      </c>
      <c r="P355" s="812"/>
      <c r="Q355" s="814">
        <f>SUM(Q348:Q354)</f>
        <v>97713.390000000014</v>
      </c>
      <c r="R355" s="815"/>
      <c r="S355" s="816">
        <f>SUM(S348:S354)</f>
        <v>91429.23</v>
      </c>
      <c r="T355" s="815"/>
      <c r="U355" s="816">
        <f>SUM(U348:U354)</f>
        <v>76169.649999999994</v>
      </c>
      <c r="V355" s="815"/>
      <c r="W355" s="816">
        <f>SUM(W348:W354)</f>
        <v>107076.56999999999</v>
      </c>
      <c r="X355" s="815"/>
      <c r="Y355" s="816">
        <f>SUM(Y348:Y354)</f>
        <v>97756.84</v>
      </c>
      <c r="Z355" s="815"/>
      <c r="AA355" s="816">
        <f>SUM(AA348:AA354)</f>
        <v>110061.18999999999</v>
      </c>
      <c r="AB355" s="815"/>
      <c r="AC355" s="816">
        <f>SUM(AC348:AC354)</f>
        <v>0</v>
      </c>
      <c r="AD355" s="758"/>
      <c r="AE355" s="203"/>
      <c r="AF355" s="203"/>
      <c r="AG355" s="203"/>
      <c r="AH355" s="203"/>
      <c r="AI355" s="203"/>
      <c r="AJ355" s="641">
        <f>SUM(AJ348:AJ354)</f>
        <v>0</v>
      </c>
      <c r="AK355" s="642">
        <f>SUM(AK348:AK354)</f>
        <v>0</v>
      </c>
      <c r="AL355" s="642">
        <f>SUM(AL348:AL354)</f>
        <v>0</v>
      </c>
      <c r="AM355" s="643">
        <f>SUM(AM348:AM354)</f>
        <v>0</v>
      </c>
    </row>
    <row r="356" spans="1:40" ht="15.75" hidden="1" thickBot="1">
      <c r="A356" s="5">
        <v>11</v>
      </c>
      <c r="B356" s="16">
        <v>2</v>
      </c>
      <c r="C356" s="16" t="s">
        <v>103</v>
      </c>
      <c r="D356" s="699">
        <v>39755</v>
      </c>
      <c r="E356" s="695">
        <v>6225.64</v>
      </c>
      <c r="F356" s="694">
        <v>40119</v>
      </c>
      <c r="G356" s="695">
        <v>9424.15</v>
      </c>
      <c r="H356" s="694">
        <v>40483</v>
      </c>
      <c r="I356" s="695">
        <v>8295.24</v>
      </c>
      <c r="J356" s="701">
        <v>40847</v>
      </c>
      <c r="K356" s="681">
        <v>0</v>
      </c>
      <c r="L356" s="683">
        <v>41218</v>
      </c>
      <c r="M356" s="681">
        <v>6502.9</v>
      </c>
      <c r="N356" s="683">
        <v>41582</v>
      </c>
      <c r="O356" s="679">
        <v>7449.35</v>
      </c>
      <c r="P356" s="689">
        <v>41946</v>
      </c>
      <c r="Q356" s="685">
        <v>7559.05</v>
      </c>
      <c r="R356" s="635">
        <f>R354+1</f>
        <v>42310</v>
      </c>
      <c r="S356" s="717">
        <v>6331.82</v>
      </c>
      <c r="T356" s="635">
        <f>T354+1</f>
        <v>42681</v>
      </c>
      <c r="U356" s="717">
        <v>10461.299999999999</v>
      </c>
      <c r="V356" s="635">
        <f>V354+1</f>
        <v>43045</v>
      </c>
      <c r="W356" s="767">
        <v>10871.91</v>
      </c>
      <c r="X356" s="635">
        <f>X354+1</f>
        <v>43409</v>
      </c>
      <c r="Y356" s="767">
        <v>8284.66</v>
      </c>
      <c r="Z356" s="635">
        <f>Z354+1</f>
        <v>43773</v>
      </c>
      <c r="AA356" s="767">
        <v>10244</v>
      </c>
      <c r="AB356" s="635">
        <f>AB354+1</f>
        <v>44137</v>
      </c>
      <c r="AC356" s="772"/>
      <c r="AD356" s="863" t="s">
        <v>154</v>
      </c>
      <c r="AJ356" s="751"/>
      <c r="AK356" s="752"/>
      <c r="AL356" s="752"/>
      <c r="AM356" s="762">
        <f t="shared" ref="AM356:AM362" si="772">SUM(AJ356:AL356)</f>
        <v>0</v>
      </c>
      <c r="AN356" s="763">
        <f>AN354+1</f>
        <v>44501</v>
      </c>
    </row>
    <row r="357" spans="1:40" hidden="1">
      <c r="A357" s="7">
        <v>11</v>
      </c>
      <c r="B357">
        <v>2</v>
      </c>
      <c r="C357" t="s">
        <v>104</v>
      </c>
      <c r="D357" s="694">
        <v>39756</v>
      </c>
      <c r="E357" s="695">
        <v>14665.7</v>
      </c>
      <c r="F357" s="697">
        <v>40120</v>
      </c>
      <c r="G357" s="695">
        <v>9035.61</v>
      </c>
      <c r="H357" s="697">
        <v>40484</v>
      </c>
      <c r="I357" s="695">
        <v>15321.57</v>
      </c>
      <c r="J357" s="683">
        <v>40848</v>
      </c>
      <c r="K357" s="679">
        <v>0</v>
      </c>
      <c r="L357" s="683">
        <v>41219</v>
      </c>
      <c r="M357" s="679">
        <v>13683.06</v>
      </c>
      <c r="N357" s="683">
        <v>41583</v>
      </c>
      <c r="O357" s="679">
        <v>8834.2000000000007</v>
      </c>
      <c r="P357" s="689">
        <v>41947</v>
      </c>
      <c r="Q357" s="685">
        <v>13639.46</v>
      </c>
      <c r="R357" s="689">
        <f>R356+1</f>
        <v>42311</v>
      </c>
      <c r="S357" s="719">
        <v>13022.1</v>
      </c>
      <c r="T357" s="689">
        <f>T356+1</f>
        <v>42682</v>
      </c>
      <c r="U357" s="719">
        <v>11746.6</v>
      </c>
      <c r="V357" s="689">
        <f>V356+1</f>
        <v>43046</v>
      </c>
      <c r="W357" s="837">
        <v>10321.200000000001</v>
      </c>
      <c r="X357" s="689">
        <f>X356+1</f>
        <v>43410</v>
      </c>
      <c r="Y357" s="837">
        <v>9466.5499999999993</v>
      </c>
      <c r="Z357" s="689">
        <f>Z356+1</f>
        <v>43774</v>
      </c>
      <c r="AA357" s="837">
        <v>12222.36</v>
      </c>
      <c r="AB357" s="689">
        <f>AB356+1</f>
        <v>44138</v>
      </c>
      <c r="AC357" s="818"/>
      <c r="AD357" s="864"/>
      <c r="AJ357" s="751"/>
      <c r="AK357" s="752"/>
      <c r="AL357" s="753"/>
      <c r="AM357" s="762">
        <f t="shared" si="772"/>
        <v>0</v>
      </c>
      <c r="AN357" s="763">
        <f>AN356+1</f>
        <v>44502</v>
      </c>
    </row>
    <row r="358" spans="1:40" hidden="1">
      <c r="A358" s="7">
        <v>11</v>
      </c>
      <c r="B358">
        <v>2</v>
      </c>
      <c r="C358" t="s">
        <v>105</v>
      </c>
      <c r="D358" s="697">
        <v>39757</v>
      </c>
      <c r="E358" s="695">
        <v>13456.48</v>
      </c>
      <c r="F358" s="697">
        <v>40121</v>
      </c>
      <c r="G358" s="695">
        <v>11041.24</v>
      </c>
      <c r="H358" s="697">
        <v>40485</v>
      </c>
      <c r="I358" s="695">
        <v>8821.65</v>
      </c>
      <c r="J358" s="683">
        <v>40849</v>
      </c>
      <c r="K358" s="695">
        <v>8170.05</v>
      </c>
      <c r="L358" s="683">
        <v>41220</v>
      </c>
      <c r="M358" s="707">
        <v>8885.49</v>
      </c>
      <c r="N358" s="683">
        <v>41584</v>
      </c>
      <c r="O358" s="690">
        <v>12071.05</v>
      </c>
      <c r="P358" s="689">
        <v>41948</v>
      </c>
      <c r="Q358" s="686">
        <v>13702.66</v>
      </c>
      <c r="R358" s="689">
        <f t="shared" ref="R358:T362" si="773">R357+1</f>
        <v>42312</v>
      </c>
      <c r="S358" s="719">
        <v>14859.51</v>
      </c>
      <c r="T358" s="689">
        <f t="shared" si="773"/>
        <v>42683</v>
      </c>
      <c r="U358" s="719">
        <v>13484.42</v>
      </c>
      <c r="V358" s="689">
        <f t="shared" ref="V358:Z358" si="774">V357+1</f>
        <v>43047</v>
      </c>
      <c r="W358" s="768">
        <v>13133.06</v>
      </c>
      <c r="X358" s="689">
        <f t="shared" ref="X358" si="775">X357+1</f>
        <v>43411</v>
      </c>
      <c r="Y358" s="768">
        <v>18218.7</v>
      </c>
      <c r="Z358" s="689">
        <f t="shared" si="774"/>
        <v>43775</v>
      </c>
      <c r="AA358" s="768">
        <v>10501.35</v>
      </c>
      <c r="AB358" s="689">
        <f t="shared" ref="AB358" si="776">AB357+1</f>
        <v>44139</v>
      </c>
      <c r="AC358" s="774"/>
      <c r="AD358" s="864"/>
      <c r="AJ358" s="751"/>
      <c r="AK358" s="752"/>
      <c r="AL358" s="753"/>
      <c r="AM358" s="762">
        <f t="shared" si="772"/>
        <v>0</v>
      </c>
      <c r="AN358" s="763">
        <f t="shared" ref="AN358:AN362" si="777">AN357+1</f>
        <v>44503</v>
      </c>
    </row>
    <row r="359" spans="1:40" hidden="1">
      <c r="A359" s="7">
        <v>11</v>
      </c>
      <c r="B359">
        <v>2</v>
      </c>
      <c r="C359" t="s">
        <v>106</v>
      </c>
      <c r="D359" s="697">
        <v>39758</v>
      </c>
      <c r="E359" s="695">
        <v>12314.12</v>
      </c>
      <c r="F359" s="697">
        <v>40122</v>
      </c>
      <c r="G359" s="695">
        <v>12100.05</v>
      </c>
      <c r="H359" s="697">
        <v>40486</v>
      </c>
      <c r="I359" s="695">
        <v>11435.53</v>
      </c>
      <c r="J359" s="683">
        <v>40850</v>
      </c>
      <c r="K359" s="695">
        <v>11924.8</v>
      </c>
      <c r="L359" s="683">
        <v>41221</v>
      </c>
      <c r="M359" s="707">
        <v>16490.650000000001</v>
      </c>
      <c r="N359" s="683">
        <v>41585</v>
      </c>
      <c r="O359" s="690">
        <v>13073.7</v>
      </c>
      <c r="P359" s="689">
        <v>41949</v>
      </c>
      <c r="Q359" s="686">
        <v>13482.3</v>
      </c>
      <c r="R359" s="689">
        <f t="shared" si="773"/>
        <v>42313</v>
      </c>
      <c r="S359" s="719">
        <v>19565.650000000001</v>
      </c>
      <c r="T359" s="689">
        <f t="shared" si="773"/>
        <v>42684</v>
      </c>
      <c r="U359" s="719">
        <v>13002.25</v>
      </c>
      <c r="V359" s="689">
        <f t="shared" ref="V359:Z359" si="778">V358+1</f>
        <v>43048</v>
      </c>
      <c r="W359" s="768">
        <v>13769.67</v>
      </c>
      <c r="X359" s="689">
        <f t="shared" ref="X359" si="779">X358+1</f>
        <v>43412</v>
      </c>
      <c r="Y359" s="768">
        <v>12850.91</v>
      </c>
      <c r="Z359" s="689">
        <f t="shared" si="778"/>
        <v>43776</v>
      </c>
      <c r="AA359" s="768">
        <v>18434.73</v>
      </c>
      <c r="AB359" s="689">
        <f t="shared" ref="AB359" si="780">AB358+1</f>
        <v>44140</v>
      </c>
      <c r="AC359" s="774"/>
      <c r="AD359" s="864"/>
      <c r="AJ359" s="751"/>
      <c r="AK359" s="752"/>
      <c r="AL359" s="753"/>
      <c r="AM359" s="762">
        <f t="shared" si="772"/>
        <v>0</v>
      </c>
      <c r="AN359" s="763">
        <f t="shared" si="777"/>
        <v>44504</v>
      </c>
    </row>
    <row r="360" spans="1:40" hidden="1">
      <c r="A360" s="7">
        <v>11</v>
      </c>
      <c r="B360">
        <v>2</v>
      </c>
      <c r="C360" t="s">
        <v>107</v>
      </c>
      <c r="D360" s="697">
        <v>39759</v>
      </c>
      <c r="E360" s="695">
        <v>19020.099999999999</v>
      </c>
      <c r="F360" s="697">
        <v>40123</v>
      </c>
      <c r="G360" s="695">
        <v>18219.150000000001</v>
      </c>
      <c r="H360" s="697">
        <v>40487</v>
      </c>
      <c r="I360" s="695">
        <v>18397.599999999999</v>
      </c>
      <c r="J360" s="683">
        <v>40851</v>
      </c>
      <c r="K360" s="695">
        <v>17744.5</v>
      </c>
      <c r="L360" s="683">
        <v>41222</v>
      </c>
      <c r="M360" s="707">
        <v>18066.439999999999</v>
      </c>
      <c r="N360" s="683">
        <v>41586</v>
      </c>
      <c r="O360" s="690">
        <v>17061.849999999999</v>
      </c>
      <c r="P360" s="689">
        <v>41950</v>
      </c>
      <c r="Q360" s="686">
        <v>21139.599999999999</v>
      </c>
      <c r="R360" s="689">
        <f t="shared" si="773"/>
        <v>42314</v>
      </c>
      <c r="S360" s="719">
        <v>19239.05</v>
      </c>
      <c r="T360" s="689">
        <f t="shared" si="773"/>
        <v>42685</v>
      </c>
      <c r="U360" s="719">
        <v>19555</v>
      </c>
      <c r="V360" s="689">
        <f t="shared" ref="V360:Z360" si="781">V359+1</f>
        <v>43049</v>
      </c>
      <c r="W360" s="768">
        <v>20178.41</v>
      </c>
      <c r="X360" s="689">
        <f t="shared" ref="X360" si="782">X359+1</f>
        <v>43413</v>
      </c>
      <c r="Y360" s="768">
        <v>15789.47</v>
      </c>
      <c r="Z360" s="689">
        <f t="shared" si="781"/>
        <v>43777</v>
      </c>
      <c r="AA360" s="768">
        <v>20702.849999999999</v>
      </c>
      <c r="AB360" s="689">
        <f t="shared" ref="AB360" si="783">AB359+1</f>
        <v>44141</v>
      </c>
      <c r="AC360" s="774"/>
      <c r="AD360" s="864"/>
      <c r="AJ360" s="751"/>
      <c r="AK360" s="752"/>
      <c r="AL360" s="753"/>
      <c r="AM360" s="762">
        <f t="shared" si="772"/>
        <v>0</v>
      </c>
      <c r="AN360" s="763">
        <f t="shared" si="777"/>
        <v>44505</v>
      </c>
    </row>
    <row r="361" spans="1:40" hidden="1">
      <c r="A361" s="7">
        <v>11</v>
      </c>
      <c r="B361">
        <v>2</v>
      </c>
      <c r="C361" t="s">
        <v>108</v>
      </c>
      <c r="D361" s="697">
        <v>39760</v>
      </c>
      <c r="E361" s="695">
        <v>24530.02</v>
      </c>
      <c r="F361" s="697">
        <v>40124</v>
      </c>
      <c r="G361" s="695">
        <v>18445.13</v>
      </c>
      <c r="H361" s="697">
        <v>40488</v>
      </c>
      <c r="I361" s="695">
        <v>18532.82</v>
      </c>
      <c r="J361" s="683">
        <v>40852</v>
      </c>
      <c r="K361" s="695">
        <v>18797.45</v>
      </c>
      <c r="L361" s="683">
        <v>41223</v>
      </c>
      <c r="M361" s="707">
        <v>20996.400000000001</v>
      </c>
      <c r="N361" s="683">
        <v>41587</v>
      </c>
      <c r="O361" s="690">
        <v>21720.35</v>
      </c>
      <c r="P361" s="689">
        <v>41951</v>
      </c>
      <c r="Q361" s="686">
        <v>23422.85</v>
      </c>
      <c r="R361" s="689">
        <f t="shared" si="773"/>
        <v>42315</v>
      </c>
      <c r="S361" s="719">
        <v>21256.21</v>
      </c>
      <c r="T361" s="689">
        <f t="shared" si="773"/>
        <v>42686</v>
      </c>
      <c r="U361" s="719">
        <v>19799</v>
      </c>
      <c r="V361" s="689">
        <f t="shared" ref="V361:Z361" si="784">V360+1</f>
        <v>43050</v>
      </c>
      <c r="W361" s="768">
        <v>23101.72</v>
      </c>
      <c r="X361" s="689">
        <f t="shared" ref="X361" si="785">X360+1</f>
        <v>43414</v>
      </c>
      <c r="Y361" s="768">
        <v>20338.419999999998</v>
      </c>
      <c r="Z361" s="689">
        <f t="shared" si="784"/>
        <v>43778</v>
      </c>
      <c r="AA361" s="768">
        <v>24666.33</v>
      </c>
      <c r="AB361" s="689">
        <f t="shared" ref="AB361" si="786">AB360+1</f>
        <v>44142</v>
      </c>
      <c r="AC361" s="774"/>
      <c r="AD361" s="864"/>
      <c r="AJ361" s="751"/>
      <c r="AK361" s="752"/>
      <c r="AL361" s="753"/>
      <c r="AM361" s="762">
        <f t="shared" si="772"/>
        <v>0</v>
      </c>
      <c r="AN361" s="763">
        <f t="shared" si="777"/>
        <v>44506</v>
      </c>
    </row>
    <row r="362" spans="1:40" ht="15.75" hidden="1" thickBot="1">
      <c r="A362" s="12">
        <v>11</v>
      </c>
      <c r="B362" s="14">
        <v>2</v>
      </c>
      <c r="C362" s="14" t="s">
        <v>109</v>
      </c>
      <c r="D362" s="697">
        <v>39761</v>
      </c>
      <c r="E362" s="695">
        <v>7761.78</v>
      </c>
      <c r="F362" s="699">
        <v>40125</v>
      </c>
      <c r="G362" s="695">
        <v>5209.72</v>
      </c>
      <c r="H362" s="699">
        <v>40489</v>
      </c>
      <c r="I362" s="695">
        <v>5234.71</v>
      </c>
      <c r="J362" s="700">
        <v>40853</v>
      </c>
      <c r="K362" s="695">
        <v>2117.6</v>
      </c>
      <c r="L362" s="683">
        <v>41224</v>
      </c>
      <c r="M362" s="707">
        <v>8626.2999999999993</v>
      </c>
      <c r="N362" s="683">
        <v>41588</v>
      </c>
      <c r="O362" s="690">
        <v>9678.9500000000007</v>
      </c>
      <c r="P362" s="689">
        <v>41952</v>
      </c>
      <c r="Q362" s="686">
        <v>11732.06</v>
      </c>
      <c r="R362" s="761">
        <f t="shared" si="773"/>
        <v>42316</v>
      </c>
      <c r="S362" s="723">
        <v>10329</v>
      </c>
      <c r="T362" s="761">
        <f t="shared" si="773"/>
        <v>42687</v>
      </c>
      <c r="U362" s="723">
        <v>11297.05</v>
      </c>
      <c r="V362" s="761">
        <f t="shared" ref="V362:Z362" si="787">V361+1</f>
        <v>43051</v>
      </c>
      <c r="W362" s="769">
        <v>9203.65</v>
      </c>
      <c r="X362" s="761">
        <f t="shared" ref="X362" si="788">X361+1</f>
        <v>43415</v>
      </c>
      <c r="Y362" s="769">
        <v>9362.02</v>
      </c>
      <c r="Z362" s="761">
        <f t="shared" si="787"/>
        <v>43779</v>
      </c>
      <c r="AA362" s="769">
        <v>13885.92</v>
      </c>
      <c r="AB362" s="761">
        <f t="shared" ref="AB362" si="789">AB361+1</f>
        <v>44143</v>
      </c>
      <c r="AC362" s="775"/>
      <c r="AD362" s="865"/>
      <c r="AE362" s="203">
        <f>SUM(E356:E362)</f>
        <v>97973.840000000011</v>
      </c>
      <c r="AF362" s="203">
        <f>SUM(G356:G362)</f>
        <v>83475.05</v>
      </c>
      <c r="AG362" s="203">
        <f>SUM(I356:I362)</f>
        <v>86039.12000000001</v>
      </c>
      <c r="AH362" s="203">
        <f>SUM(K356:K362)</f>
        <v>58754.400000000001</v>
      </c>
      <c r="AI362" s="203">
        <f>SUM(M356:M362)</f>
        <v>93251.24</v>
      </c>
      <c r="AJ362" s="751"/>
      <c r="AK362" s="752"/>
      <c r="AL362" s="754"/>
      <c r="AM362" s="762">
        <f t="shared" si="772"/>
        <v>0</v>
      </c>
      <c r="AN362" s="763">
        <f t="shared" si="777"/>
        <v>44507</v>
      </c>
    </row>
    <row r="363" spans="1:40" ht="15.75" hidden="1" thickBot="1">
      <c r="A363" s="7"/>
      <c r="C363" s="809" t="s">
        <v>282</v>
      </c>
      <c r="D363" s="810"/>
      <c r="E363" s="811"/>
      <c r="F363" s="810"/>
      <c r="G363" s="811"/>
      <c r="H363" s="810"/>
      <c r="I363" s="811"/>
      <c r="J363" s="812"/>
      <c r="K363" s="813"/>
      <c r="L363" s="812"/>
      <c r="M363" s="813"/>
      <c r="N363" s="812"/>
      <c r="O363" s="814">
        <f>SUM(O356:O362)</f>
        <v>89889.45</v>
      </c>
      <c r="P363" s="812"/>
      <c r="Q363" s="814">
        <f>SUM(Q356:Q362)</f>
        <v>104677.98000000001</v>
      </c>
      <c r="R363" s="815"/>
      <c r="S363" s="816">
        <f>SUM(S356:S362)</f>
        <v>104603.34</v>
      </c>
      <c r="T363" s="815"/>
      <c r="U363" s="816">
        <f>SUM(U356:U362)</f>
        <v>99345.62000000001</v>
      </c>
      <c r="V363" s="815"/>
      <c r="W363" s="816">
        <f>SUM(W356:W362)</f>
        <v>100579.62</v>
      </c>
      <c r="X363" s="815"/>
      <c r="Y363" s="816">
        <f>SUM(Y356:Y362)</f>
        <v>94310.73000000001</v>
      </c>
      <c r="Z363" s="815"/>
      <c r="AA363" s="816">
        <f>SUM(AA356:AA362)</f>
        <v>110657.54000000001</v>
      </c>
      <c r="AB363" s="815"/>
      <c r="AC363" s="816">
        <f>SUM(AC356:AC362)</f>
        <v>0</v>
      </c>
      <c r="AD363" s="758"/>
      <c r="AE363" s="203"/>
      <c r="AF363" s="203"/>
      <c r="AG363" s="203"/>
      <c r="AH363" s="203"/>
      <c r="AI363" s="203"/>
      <c r="AJ363" s="641">
        <f>SUM(AJ356:AJ362)</f>
        <v>0</v>
      </c>
      <c r="AK363" s="642">
        <f>SUM(AK356:AK362)</f>
        <v>0</v>
      </c>
      <c r="AL363" s="642">
        <f>SUM(AL356:AL362)</f>
        <v>0</v>
      </c>
      <c r="AM363" s="643">
        <f>SUM(AM356:AM362)</f>
        <v>0</v>
      </c>
    </row>
    <row r="364" spans="1:40" ht="15.75" hidden="1" thickBot="1">
      <c r="A364" s="5">
        <v>11</v>
      </c>
      <c r="B364" s="16">
        <v>3</v>
      </c>
      <c r="C364" s="16" t="s">
        <v>103</v>
      </c>
      <c r="D364" s="699">
        <v>39762</v>
      </c>
      <c r="E364" s="695">
        <v>7000.28</v>
      </c>
      <c r="F364" s="694">
        <v>40126</v>
      </c>
      <c r="G364" s="695">
        <v>6926.13</v>
      </c>
      <c r="H364" s="694">
        <v>40490</v>
      </c>
      <c r="I364" s="695">
        <v>9785.1200000000008</v>
      </c>
      <c r="J364" s="701">
        <v>40854</v>
      </c>
      <c r="K364" s="695">
        <v>8576</v>
      </c>
      <c r="L364" s="683">
        <v>41225</v>
      </c>
      <c r="M364" s="707">
        <v>7491.8</v>
      </c>
      <c r="N364" s="683">
        <v>41589</v>
      </c>
      <c r="O364" s="690">
        <v>10498.01</v>
      </c>
      <c r="P364" s="689">
        <v>41953</v>
      </c>
      <c r="Q364" s="686">
        <v>8124.01</v>
      </c>
      <c r="R364" s="635">
        <f>R362+1</f>
        <v>42317</v>
      </c>
      <c r="S364" s="717">
        <v>6523</v>
      </c>
      <c r="T364" s="635">
        <f>T362+1</f>
        <v>42688</v>
      </c>
      <c r="U364" s="717">
        <v>6419.26</v>
      </c>
      <c r="V364" s="635">
        <f>V362+1</f>
        <v>43052</v>
      </c>
      <c r="W364" s="767">
        <v>9462.9</v>
      </c>
      <c r="X364" s="635">
        <f>X362+1</f>
        <v>43416</v>
      </c>
      <c r="Y364" s="767">
        <v>7956.6</v>
      </c>
      <c r="Z364" s="635">
        <f>Z362+1</f>
        <v>43780</v>
      </c>
      <c r="AA364" s="767">
        <v>13374.21</v>
      </c>
      <c r="AB364" s="635">
        <f>AB362+1</f>
        <v>44144</v>
      </c>
      <c r="AC364" s="772"/>
      <c r="AD364" s="863" t="s">
        <v>155</v>
      </c>
      <c r="AJ364" s="751"/>
      <c r="AK364" s="752"/>
      <c r="AL364" s="752"/>
      <c r="AM364" s="762">
        <f t="shared" ref="AM364:AM370" si="790">SUM(AJ364:AL364)</f>
        <v>0</v>
      </c>
      <c r="AN364" s="763">
        <f>AN362+1</f>
        <v>44508</v>
      </c>
    </row>
    <row r="365" spans="1:40" hidden="1">
      <c r="A365" s="7">
        <v>11</v>
      </c>
      <c r="B365">
        <v>3</v>
      </c>
      <c r="C365" t="s">
        <v>104</v>
      </c>
      <c r="D365" s="694">
        <v>39763</v>
      </c>
      <c r="E365" s="695">
        <v>11264.53</v>
      </c>
      <c r="F365" s="697">
        <v>40127</v>
      </c>
      <c r="G365" s="695">
        <v>10664.63</v>
      </c>
      <c r="H365" s="697">
        <v>40491</v>
      </c>
      <c r="I365" s="695">
        <v>9166</v>
      </c>
      <c r="J365" s="683">
        <v>40855</v>
      </c>
      <c r="K365" s="695">
        <v>11382.22</v>
      </c>
      <c r="L365" s="683">
        <v>41226</v>
      </c>
      <c r="M365" s="707">
        <v>10665.5</v>
      </c>
      <c r="N365" s="683">
        <v>41590</v>
      </c>
      <c r="O365" s="690">
        <v>13187.9</v>
      </c>
      <c r="P365" s="689">
        <v>41954</v>
      </c>
      <c r="Q365" s="686">
        <v>11712.5</v>
      </c>
      <c r="R365" s="689">
        <f>R364+1</f>
        <v>42318</v>
      </c>
      <c r="S365" s="719">
        <v>12318.15</v>
      </c>
      <c r="T365" s="689">
        <f>T364+1</f>
        <v>42689</v>
      </c>
      <c r="U365" s="719">
        <v>9422.65</v>
      </c>
      <c r="V365" s="689">
        <f>V364+1</f>
        <v>43053</v>
      </c>
      <c r="W365" s="837">
        <v>12758.9</v>
      </c>
      <c r="X365" s="689">
        <f>X364+1</f>
        <v>43417</v>
      </c>
      <c r="Y365" s="837">
        <v>14800.98</v>
      </c>
      <c r="Z365" s="689">
        <f>Z364+1</f>
        <v>43781</v>
      </c>
      <c r="AA365" s="837">
        <v>10497.57</v>
      </c>
      <c r="AB365" s="689">
        <f>AB364+1</f>
        <v>44145</v>
      </c>
      <c r="AC365" s="818"/>
      <c r="AD365" s="864"/>
      <c r="AJ365" s="751"/>
      <c r="AK365" s="752"/>
      <c r="AL365" s="753"/>
      <c r="AM365" s="762">
        <f t="shared" si="790"/>
        <v>0</v>
      </c>
      <c r="AN365" s="763">
        <f>AN364+1</f>
        <v>44509</v>
      </c>
    </row>
    <row r="366" spans="1:40" hidden="1">
      <c r="A366" s="7">
        <v>11</v>
      </c>
      <c r="B366">
        <v>3</v>
      </c>
      <c r="C366" t="s">
        <v>105</v>
      </c>
      <c r="D366" s="697">
        <v>39764</v>
      </c>
      <c r="E366" s="695">
        <v>10655.19</v>
      </c>
      <c r="F366" s="697">
        <v>40128</v>
      </c>
      <c r="G366" s="695">
        <v>13350.84</v>
      </c>
      <c r="H366" s="697">
        <v>40492</v>
      </c>
      <c r="I366" s="695">
        <v>13930.66</v>
      </c>
      <c r="J366" s="683">
        <v>40856</v>
      </c>
      <c r="K366" s="695">
        <v>8500.75</v>
      </c>
      <c r="L366" s="683">
        <v>41227</v>
      </c>
      <c r="M366" s="707">
        <v>14799</v>
      </c>
      <c r="N366" s="683">
        <v>41591</v>
      </c>
      <c r="O366" s="690">
        <v>12985.05</v>
      </c>
      <c r="P366" s="689">
        <v>41955</v>
      </c>
      <c r="Q366" s="686">
        <v>10669.75</v>
      </c>
      <c r="R366" s="689">
        <f t="shared" ref="R366:T370" si="791">R365+1</f>
        <v>42319</v>
      </c>
      <c r="S366" s="719">
        <v>14593.05</v>
      </c>
      <c r="T366" s="689">
        <f t="shared" si="791"/>
        <v>42690</v>
      </c>
      <c r="U366" s="719">
        <v>16087</v>
      </c>
      <c r="V366" s="689">
        <f t="shared" ref="V366:Z366" si="792">V365+1</f>
        <v>43054</v>
      </c>
      <c r="W366" s="768">
        <v>13428.8</v>
      </c>
      <c r="X366" s="689">
        <f t="shared" ref="X366" si="793">X365+1</f>
        <v>43418</v>
      </c>
      <c r="Y366" s="768">
        <v>17982.560000000001</v>
      </c>
      <c r="Z366" s="689">
        <f t="shared" si="792"/>
        <v>43782</v>
      </c>
      <c r="AA366" s="768">
        <v>16453.16</v>
      </c>
      <c r="AB366" s="689">
        <f t="shared" ref="AB366" si="794">AB365+1</f>
        <v>44146</v>
      </c>
      <c r="AC366" s="774"/>
      <c r="AD366" s="864"/>
      <c r="AJ366" s="751"/>
      <c r="AK366" s="752"/>
      <c r="AL366" s="753"/>
      <c r="AM366" s="762">
        <f t="shared" si="790"/>
        <v>0</v>
      </c>
      <c r="AN366" s="763">
        <f t="shared" ref="AN366:AN370" si="795">AN365+1</f>
        <v>44510</v>
      </c>
    </row>
    <row r="367" spans="1:40" hidden="1">
      <c r="A367" s="7">
        <v>11</v>
      </c>
      <c r="B367">
        <v>3</v>
      </c>
      <c r="C367" t="s">
        <v>106</v>
      </c>
      <c r="D367" s="697">
        <v>39765</v>
      </c>
      <c r="E367" s="695">
        <v>12567.97</v>
      </c>
      <c r="F367" s="697">
        <v>40129</v>
      </c>
      <c r="G367" s="695">
        <v>10961.59</v>
      </c>
      <c r="H367" s="697">
        <v>40493</v>
      </c>
      <c r="I367" s="695">
        <v>10329.620000000001</v>
      </c>
      <c r="J367" s="683">
        <v>40857</v>
      </c>
      <c r="K367" s="695">
        <v>15673.28</v>
      </c>
      <c r="L367" s="683">
        <v>41228</v>
      </c>
      <c r="M367" s="707">
        <v>16297.6</v>
      </c>
      <c r="N367" s="683">
        <v>41592</v>
      </c>
      <c r="O367" s="690">
        <v>11341.4</v>
      </c>
      <c r="P367" s="689">
        <v>41956</v>
      </c>
      <c r="Q367" s="686">
        <v>15960.81</v>
      </c>
      <c r="R367" s="689">
        <f t="shared" si="791"/>
        <v>42320</v>
      </c>
      <c r="S367" s="719">
        <v>15215.25</v>
      </c>
      <c r="T367" s="689">
        <f t="shared" si="791"/>
        <v>42691</v>
      </c>
      <c r="U367" s="719">
        <v>12884.61</v>
      </c>
      <c r="V367" s="689">
        <f t="shared" ref="V367:Z367" si="796">V366+1</f>
        <v>43055</v>
      </c>
      <c r="W367" s="768">
        <v>15328.95</v>
      </c>
      <c r="X367" s="689">
        <f t="shared" ref="X367" si="797">X366+1</f>
        <v>43419</v>
      </c>
      <c r="Y367" s="768">
        <v>6860.74</v>
      </c>
      <c r="Z367" s="689">
        <f t="shared" si="796"/>
        <v>43783</v>
      </c>
      <c r="AA367" s="768">
        <v>17402.09</v>
      </c>
      <c r="AB367" s="689">
        <f t="shared" ref="AB367" si="798">AB366+1</f>
        <v>44147</v>
      </c>
      <c r="AC367" s="774"/>
      <c r="AD367" s="864"/>
      <c r="AJ367" s="751"/>
      <c r="AK367" s="752"/>
      <c r="AL367" s="753"/>
      <c r="AM367" s="762">
        <f t="shared" si="790"/>
        <v>0</v>
      </c>
      <c r="AN367" s="763">
        <f t="shared" si="795"/>
        <v>44511</v>
      </c>
    </row>
    <row r="368" spans="1:40" hidden="1">
      <c r="A368" s="7">
        <v>11</v>
      </c>
      <c r="B368">
        <v>3</v>
      </c>
      <c r="C368" t="s">
        <v>107</v>
      </c>
      <c r="D368" s="697">
        <v>39766</v>
      </c>
      <c r="E368" s="695">
        <v>21210.76</v>
      </c>
      <c r="F368" s="697">
        <v>40130</v>
      </c>
      <c r="G368" s="695">
        <v>17753.419999999998</v>
      </c>
      <c r="H368" s="697">
        <v>40494</v>
      </c>
      <c r="I368" s="695">
        <v>15836.4</v>
      </c>
      <c r="J368" s="683">
        <v>40858</v>
      </c>
      <c r="K368" s="695">
        <v>16591.29</v>
      </c>
      <c r="L368" s="683">
        <v>41229</v>
      </c>
      <c r="M368" s="707">
        <v>17118.21</v>
      </c>
      <c r="N368" s="683">
        <v>41593</v>
      </c>
      <c r="O368" s="690">
        <v>17433.400000000001</v>
      </c>
      <c r="P368" s="689">
        <v>41957</v>
      </c>
      <c r="Q368" s="686">
        <v>22410.9</v>
      </c>
      <c r="R368" s="689">
        <f t="shared" si="791"/>
        <v>42321</v>
      </c>
      <c r="S368" s="719">
        <v>21875.5</v>
      </c>
      <c r="T368" s="689">
        <f t="shared" si="791"/>
        <v>42692</v>
      </c>
      <c r="U368" s="719">
        <v>17727.009999999998</v>
      </c>
      <c r="V368" s="689">
        <f t="shared" ref="V368:Z368" si="799">V367+1</f>
        <v>43056</v>
      </c>
      <c r="W368" s="768">
        <v>17870.259999999998</v>
      </c>
      <c r="X368" s="689">
        <f t="shared" ref="X368" si="800">X367+1</f>
        <v>43420</v>
      </c>
      <c r="Y368" s="768">
        <v>16530.490000000002</v>
      </c>
      <c r="Z368" s="689">
        <f t="shared" si="799"/>
        <v>43784</v>
      </c>
      <c r="AA368" s="768">
        <v>18760.59</v>
      </c>
      <c r="AB368" s="689">
        <f t="shared" ref="AB368" si="801">AB367+1</f>
        <v>44148</v>
      </c>
      <c r="AC368" s="774"/>
      <c r="AD368" s="864"/>
      <c r="AJ368" s="751"/>
      <c r="AK368" s="752"/>
      <c r="AL368" s="753"/>
      <c r="AM368" s="762">
        <f t="shared" si="790"/>
        <v>0</v>
      </c>
      <c r="AN368" s="763">
        <f t="shared" si="795"/>
        <v>44512</v>
      </c>
    </row>
    <row r="369" spans="1:40" hidden="1">
      <c r="A369" s="7">
        <v>11</v>
      </c>
      <c r="B369">
        <v>3</v>
      </c>
      <c r="C369" t="s">
        <v>108</v>
      </c>
      <c r="D369" s="697">
        <v>39767</v>
      </c>
      <c r="E369" s="695">
        <v>24789.87</v>
      </c>
      <c r="F369" s="697">
        <v>40131</v>
      </c>
      <c r="G369" s="695">
        <v>22033.33</v>
      </c>
      <c r="H369" s="697">
        <v>40495</v>
      </c>
      <c r="I369" s="695">
        <v>20712.75</v>
      </c>
      <c r="J369" s="683">
        <v>40859</v>
      </c>
      <c r="K369" s="695">
        <v>18482.84</v>
      </c>
      <c r="L369" s="683">
        <v>41230</v>
      </c>
      <c r="M369" s="707">
        <v>21922.7</v>
      </c>
      <c r="N369" s="683">
        <v>41594</v>
      </c>
      <c r="O369" s="690">
        <v>22342.04</v>
      </c>
      <c r="P369" s="689">
        <v>41958</v>
      </c>
      <c r="Q369" s="686">
        <v>23278.45</v>
      </c>
      <c r="R369" s="689">
        <f t="shared" si="791"/>
        <v>42322</v>
      </c>
      <c r="S369" s="719">
        <v>19461.91</v>
      </c>
      <c r="T369" s="689">
        <f t="shared" si="791"/>
        <v>42693</v>
      </c>
      <c r="U369" s="719">
        <v>19526.57</v>
      </c>
      <c r="V369" s="689">
        <f t="shared" ref="V369:Z369" si="802">V368+1</f>
        <v>43057</v>
      </c>
      <c r="W369" s="768">
        <v>21700.25</v>
      </c>
      <c r="X369" s="689">
        <f t="shared" ref="X369" si="803">X368+1</f>
        <v>43421</v>
      </c>
      <c r="Y369" s="768">
        <v>20665.71</v>
      </c>
      <c r="Z369" s="689">
        <f t="shared" si="802"/>
        <v>43785</v>
      </c>
      <c r="AA369" s="768">
        <v>24061.49</v>
      </c>
      <c r="AB369" s="689">
        <f t="shared" ref="AB369" si="804">AB368+1</f>
        <v>44149</v>
      </c>
      <c r="AC369" s="774"/>
      <c r="AD369" s="864"/>
      <c r="AJ369" s="751"/>
      <c r="AK369" s="752"/>
      <c r="AL369" s="753"/>
      <c r="AM369" s="762">
        <f t="shared" si="790"/>
        <v>0</v>
      </c>
      <c r="AN369" s="763">
        <f t="shared" si="795"/>
        <v>44513</v>
      </c>
    </row>
    <row r="370" spans="1:40" ht="15.75" hidden="1" thickBot="1">
      <c r="A370" s="12">
        <v>11</v>
      </c>
      <c r="B370" s="14">
        <v>3</v>
      </c>
      <c r="C370" s="14" t="s">
        <v>109</v>
      </c>
      <c r="D370" s="697">
        <v>39768</v>
      </c>
      <c r="E370" s="695">
        <v>8435.84</v>
      </c>
      <c r="F370" s="699">
        <v>40132</v>
      </c>
      <c r="G370" s="695">
        <v>4411.46</v>
      </c>
      <c r="H370" s="699">
        <v>40496</v>
      </c>
      <c r="I370" s="695">
        <v>3406.5</v>
      </c>
      <c r="J370" s="700">
        <v>40860</v>
      </c>
      <c r="K370" s="695">
        <v>5062.3999999999996</v>
      </c>
      <c r="L370" s="683">
        <v>41231</v>
      </c>
      <c r="M370" s="707">
        <v>7224.15</v>
      </c>
      <c r="N370" s="683">
        <v>41595</v>
      </c>
      <c r="O370" s="690">
        <v>8661.1</v>
      </c>
      <c r="P370" s="689">
        <v>41959</v>
      </c>
      <c r="Q370" s="686">
        <v>9085.7999999999993</v>
      </c>
      <c r="R370" s="761">
        <f t="shared" si="791"/>
        <v>42323</v>
      </c>
      <c r="S370" s="723">
        <v>12560.16</v>
      </c>
      <c r="T370" s="761">
        <f t="shared" si="791"/>
        <v>42694</v>
      </c>
      <c r="U370" s="723">
        <v>10434.049999999999</v>
      </c>
      <c r="V370" s="761">
        <f t="shared" ref="V370:Z370" si="805">V369+1</f>
        <v>43058</v>
      </c>
      <c r="W370" s="769">
        <v>12431.12</v>
      </c>
      <c r="X370" s="761">
        <f t="shared" ref="X370" si="806">X369+1</f>
        <v>43422</v>
      </c>
      <c r="Y370" s="769">
        <v>11895.26</v>
      </c>
      <c r="Z370" s="761">
        <f t="shared" si="805"/>
        <v>43786</v>
      </c>
      <c r="AA370" s="769">
        <v>9883.93</v>
      </c>
      <c r="AB370" s="761">
        <f t="shared" ref="AB370" si="807">AB369+1</f>
        <v>44150</v>
      </c>
      <c r="AC370" s="775"/>
      <c r="AD370" s="865"/>
      <c r="AE370" s="203">
        <f>SUM(E364:E370)</f>
        <v>95924.439999999988</v>
      </c>
      <c r="AF370" s="203">
        <f>SUM(G364:G370)</f>
        <v>86101.400000000009</v>
      </c>
      <c r="AG370" s="203">
        <f>SUM(I364:I370)</f>
        <v>83167.05</v>
      </c>
      <c r="AH370" s="203">
        <f>SUM(K364:K370)</f>
        <v>84268.78</v>
      </c>
      <c r="AI370" s="203">
        <f>SUM(M364:M370)</f>
        <v>95518.959999999992</v>
      </c>
      <c r="AJ370" s="751"/>
      <c r="AK370" s="752"/>
      <c r="AL370" s="754"/>
      <c r="AM370" s="762">
        <f t="shared" si="790"/>
        <v>0</v>
      </c>
      <c r="AN370" s="763">
        <f t="shared" si="795"/>
        <v>44514</v>
      </c>
    </row>
    <row r="371" spans="1:40" ht="15.75" hidden="1" thickBot="1">
      <c r="A371" s="7"/>
      <c r="C371" s="809" t="s">
        <v>282</v>
      </c>
      <c r="D371" s="810"/>
      <c r="E371" s="811"/>
      <c r="F371" s="810"/>
      <c r="G371" s="811"/>
      <c r="H371" s="810"/>
      <c r="I371" s="811"/>
      <c r="J371" s="812"/>
      <c r="K371" s="813"/>
      <c r="L371" s="812"/>
      <c r="M371" s="813"/>
      <c r="N371" s="812"/>
      <c r="O371" s="814">
        <f>SUM(O364:O370)</f>
        <v>96448.900000000009</v>
      </c>
      <c r="P371" s="812"/>
      <c r="Q371" s="814">
        <f>SUM(Q364:Q370)</f>
        <v>101242.22</v>
      </c>
      <c r="R371" s="815"/>
      <c r="S371" s="816">
        <f>SUM(S364:S370)</f>
        <v>102547.02</v>
      </c>
      <c r="T371" s="815"/>
      <c r="U371" s="816">
        <f>SUM(U364:U370)</f>
        <v>92501.150000000009</v>
      </c>
      <c r="V371" s="815"/>
      <c r="W371" s="816">
        <f>SUM(W364:W370)</f>
        <v>102981.18</v>
      </c>
      <c r="X371" s="815"/>
      <c r="Y371" s="816">
        <f>SUM(Y364:Y370)</f>
        <v>96692.339999999982</v>
      </c>
      <c r="Z371" s="815"/>
      <c r="AA371" s="816">
        <f>SUM(AA364:AA370)</f>
        <v>110433.04000000001</v>
      </c>
      <c r="AB371" s="815"/>
      <c r="AC371" s="816">
        <f>SUM(AC364:AC370)</f>
        <v>0</v>
      </c>
      <c r="AD371" s="758"/>
      <c r="AE371" s="203"/>
      <c r="AF371" s="203"/>
      <c r="AG371" s="203"/>
      <c r="AH371" s="203"/>
      <c r="AI371" s="203"/>
      <c r="AJ371" s="641">
        <f>SUM(AJ364:AJ370)</f>
        <v>0</v>
      </c>
      <c r="AK371" s="642">
        <f>SUM(AK364:AK370)</f>
        <v>0</v>
      </c>
      <c r="AL371" s="642">
        <f>SUM(AL364:AL370)</f>
        <v>0</v>
      </c>
      <c r="AM371" s="643">
        <f>SUM(AM364:AM370)</f>
        <v>0</v>
      </c>
    </row>
    <row r="372" spans="1:40" ht="15.75" hidden="1" thickBot="1">
      <c r="A372" s="5">
        <v>11</v>
      </c>
      <c r="B372" s="16">
        <v>4</v>
      </c>
      <c r="C372" s="16" t="s">
        <v>103</v>
      </c>
      <c r="D372" s="699">
        <v>39769</v>
      </c>
      <c r="E372" s="695">
        <v>9191.17</v>
      </c>
      <c r="F372" s="694">
        <v>40133</v>
      </c>
      <c r="G372" s="695">
        <v>7321.71</v>
      </c>
      <c r="H372" s="694">
        <v>40497</v>
      </c>
      <c r="I372" s="695">
        <v>6385.61</v>
      </c>
      <c r="J372" s="701">
        <v>40861</v>
      </c>
      <c r="K372" s="695">
        <v>6643</v>
      </c>
      <c r="L372" s="683">
        <v>41232</v>
      </c>
      <c r="M372" s="707">
        <v>7188.75</v>
      </c>
      <c r="N372" s="683">
        <v>41596</v>
      </c>
      <c r="O372" s="690">
        <v>6984.5</v>
      </c>
      <c r="P372" s="689">
        <v>41960</v>
      </c>
      <c r="Q372" s="686">
        <v>9609.61</v>
      </c>
      <c r="R372" s="635">
        <f>R370+1</f>
        <v>42324</v>
      </c>
      <c r="S372" s="717">
        <v>7569.5</v>
      </c>
      <c r="T372" s="635">
        <f>T370+1</f>
        <v>42695</v>
      </c>
      <c r="U372" s="717">
        <v>9429.7000000000007</v>
      </c>
      <c r="V372" s="635">
        <f>V370+1</f>
        <v>43059</v>
      </c>
      <c r="W372" s="767">
        <v>6714.15</v>
      </c>
      <c r="X372" s="635">
        <f>X370+1</f>
        <v>43423</v>
      </c>
      <c r="Y372" s="767">
        <v>11181.35</v>
      </c>
      <c r="Z372" s="635">
        <f>Z370+1</f>
        <v>43787</v>
      </c>
      <c r="AA372" s="767">
        <v>11130.31</v>
      </c>
      <c r="AB372" s="635">
        <f>AB370+1</f>
        <v>44151</v>
      </c>
      <c r="AC372" s="772"/>
      <c r="AD372" s="863" t="s">
        <v>156</v>
      </c>
      <c r="AJ372" s="751"/>
      <c r="AK372" s="752"/>
      <c r="AL372" s="752"/>
      <c r="AM372" s="762">
        <f t="shared" ref="AM372:AM378" si="808">SUM(AJ372:AL372)</f>
        <v>0</v>
      </c>
      <c r="AN372" s="763">
        <f>AN370+1</f>
        <v>44515</v>
      </c>
    </row>
    <row r="373" spans="1:40" hidden="1">
      <c r="A373" s="7">
        <v>11</v>
      </c>
      <c r="B373">
        <v>4</v>
      </c>
      <c r="C373" t="s">
        <v>104</v>
      </c>
      <c r="D373" s="694">
        <v>39770</v>
      </c>
      <c r="E373" s="695">
        <v>15478.3</v>
      </c>
      <c r="F373" s="697">
        <v>40134</v>
      </c>
      <c r="G373" s="695">
        <v>9482.3700000000008</v>
      </c>
      <c r="H373" s="697">
        <v>40498</v>
      </c>
      <c r="I373" s="695">
        <v>8260.0300000000007</v>
      </c>
      <c r="J373" s="683">
        <v>40862</v>
      </c>
      <c r="K373" s="695">
        <v>9796.56</v>
      </c>
      <c r="L373" s="683">
        <v>41233</v>
      </c>
      <c r="M373" s="707">
        <v>8289.06</v>
      </c>
      <c r="N373" s="683">
        <v>41597</v>
      </c>
      <c r="O373" s="690">
        <v>17246.400000000001</v>
      </c>
      <c r="P373" s="689">
        <v>41961</v>
      </c>
      <c r="Q373" s="686">
        <v>16921.79</v>
      </c>
      <c r="R373" s="689">
        <f>R372+1</f>
        <v>42325</v>
      </c>
      <c r="S373" s="719">
        <v>13524.2</v>
      </c>
      <c r="T373" s="689">
        <f>T372+1</f>
        <v>42696</v>
      </c>
      <c r="U373" s="719">
        <v>9287.65</v>
      </c>
      <c r="V373" s="689">
        <f>V372+1</f>
        <v>43060</v>
      </c>
      <c r="W373" s="837">
        <v>12665.55</v>
      </c>
      <c r="X373" s="689">
        <f>X372+1</f>
        <v>43424</v>
      </c>
      <c r="Y373" s="837">
        <v>12062.7</v>
      </c>
      <c r="Z373" s="689">
        <f>Z372+1</f>
        <v>43788</v>
      </c>
      <c r="AA373" s="837">
        <v>14284.87</v>
      </c>
      <c r="AB373" s="689">
        <f>AB372+1</f>
        <v>44152</v>
      </c>
      <c r="AC373" s="818"/>
      <c r="AD373" s="864"/>
      <c r="AJ373" s="751"/>
      <c r="AK373" s="752"/>
      <c r="AL373" s="753"/>
      <c r="AM373" s="762">
        <f t="shared" si="808"/>
        <v>0</v>
      </c>
      <c r="AN373" s="763">
        <f>AN372+1</f>
        <v>44516</v>
      </c>
    </row>
    <row r="374" spans="1:40" hidden="1">
      <c r="A374" s="7">
        <v>11</v>
      </c>
      <c r="B374">
        <v>4</v>
      </c>
      <c r="C374" t="s">
        <v>105</v>
      </c>
      <c r="D374" s="697">
        <v>39771</v>
      </c>
      <c r="E374" s="695">
        <v>11176.34</v>
      </c>
      <c r="F374" s="697">
        <v>40135</v>
      </c>
      <c r="G374" s="695">
        <v>11023.8</v>
      </c>
      <c r="H374" s="697">
        <v>40499</v>
      </c>
      <c r="I374" s="695">
        <v>9651.66</v>
      </c>
      <c r="J374" s="683">
        <v>40863</v>
      </c>
      <c r="K374" s="695">
        <v>14220.91</v>
      </c>
      <c r="L374" s="683">
        <v>41234</v>
      </c>
      <c r="M374" s="707">
        <v>10454.709999999999</v>
      </c>
      <c r="N374" s="683">
        <v>41598</v>
      </c>
      <c r="O374" s="690">
        <v>11347.55</v>
      </c>
      <c r="P374" s="689">
        <v>41962</v>
      </c>
      <c r="Q374" s="686">
        <v>16955.009999999998</v>
      </c>
      <c r="R374" s="689">
        <f t="shared" ref="R374:T378" si="809">R373+1</f>
        <v>42326</v>
      </c>
      <c r="S374" s="719">
        <v>14669.73</v>
      </c>
      <c r="T374" s="689">
        <f t="shared" si="809"/>
        <v>42697</v>
      </c>
      <c r="U374" s="719">
        <v>16050.27</v>
      </c>
      <c r="V374" s="689">
        <f t="shared" ref="V374:Z374" si="810">V373+1</f>
        <v>43061</v>
      </c>
      <c r="W374" s="768">
        <v>14139.1</v>
      </c>
      <c r="X374" s="689">
        <f t="shared" ref="X374" si="811">X373+1</f>
        <v>43425</v>
      </c>
      <c r="Y374" s="768">
        <v>15284.44</v>
      </c>
      <c r="Z374" s="689">
        <f t="shared" si="810"/>
        <v>43789</v>
      </c>
      <c r="AA374" s="768">
        <v>14793.07</v>
      </c>
      <c r="AB374" s="689">
        <f t="shared" ref="AB374" si="812">AB373+1</f>
        <v>44153</v>
      </c>
      <c r="AC374" s="774"/>
      <c r="AD374" s="864"/>
      <c r="AJ374" s="751"/>
      <c r="AK374" s="752"/>
      <c r="AL374" s="753"/>
      <c r="AM374" s="762">
        <f t="shared" si="808"/>
        <v>0</v>
      </c>
      <c r="AN374" s="763">
        <f t="shared" ref="AN374:AN378" si="813">AN373+1</f>
        <v>44517</v>
      </c>
    </row>
    <row r="375" spans="1:40" hidden="1">
      <c r="A375" s="7">
        <v>11</v>
      </c>
      <c r="B375">
        <v>4</v>
      </c>
      <c r="C375" t="s">
        <v>106</v>
      </c>
      <c r="D375" s="697">
        <v>39772</v>
      </c>
      <c r="E375" s="695">
        <v>17308.13</v>
      </c>
      <c r="F375" s="697">
        <v>40136</v>
      </c>
      <c r="G375" s="695">
        <v>13999.15</v>
      </c>
      <c r="H375" s="697">
        <v>40500</v>
      </c>
      <c r="I375" s="695">
        <v>10150.120000000001</v>
      </c>
      <c r="J375" s="683">
        <v>40864</v>
      </c>
      <c r="K375" s="695">
        <v>14160.27</v>
      </c>
      <c r="L375" s="683">
        <v>41235</v>
      </c>
      <c r="M375" s="707">
        <v>0</v>
      </c>
      <c r="N375" s="683">
        <v>41599</v>
      </c>
      <c r="O375" s="690">
        <v>12980.6</v>
      </c>
      <c r="P375" s="689">
        <v>41963</v>
      </c>
      <c r="Q375" s="686">
        <v>14266</v>
      </c>
      <c r="R375" s="689">
        <f t="shared" si="809"/>
        <v>42327</v>
      </c>
      <c r="S375" s="719">
        <v>12812.07</v>
      </c>
      <c r="T375" s="689">
        <f t="shared" si="809"/>
        <v>42698</v>
      </c>
      <c r="U375" s="719"/>
      <c r="V375" s="689">
        <f t="shared" ref="V375:Z375" si="814">V374+1</f>
        <v>43062</v>
      </c>
      <c r="W375" s="768"/>
      <c r="X375" s="689">
        <f t="shared" ref="X375" si="815">X374+1</f>
        <v>43426</v>
      </c>
      <c r="Y375" s="768"/>
      <c r="Z375" s="689">
        <f t="shared" si="814"/>
        <v>43790</v>
      </c>
      <c r="AA375" s="768">
        <v>16148.81</v>
      </c>
      <c r="AB375" s="689">
        <f t="shared" ref="AB375" si="816">AB374+1</f>
        <v>44154</v>
      </c>
      <c r="AC375" s="774"/>
      <c r="AD375" s="864"/>
      <c r="AJ375" s="751"/>
      <c r="AK375" s="752"/>
      <c r="AL375" s="753"/>
      <c r="AM375" s="762">
        <f t="shared" si="808"/>
        <v>0</v>
      </c>
      <c r="AN375" s="763">
        <f t="shared" si="813"/>
        <v>44518</v>
      </c>
    </row>
    <row r="376" spans="1:40" hidden="1">
      <c r="A376" s="7">
        <v>11</v>
      </c>
      <c r="B376">
        <v>4</v>
      </c>
      <c r="C376" t="s">
        <v>107</v>
      </c>
      <c r="D376" s="697">
        <v>39773</v>
      </c>
      <c r="E376" s="695">
        <v>21616.57</v>
      </c>
      <c r="F376" s="697">
        <v>40137</v>
      </c>
      <c r="G376" s="695">
        <v>17098.150000000001</v>
      </c>
      <c r="H376" s="697">
        <v>40501</v>
      </c>
      <c r="I376" s="695">
        <v>16611.12</v>
      </c>
      <c r="J376" s="683">
        <v>40865</v>
      </c>
      <c r="K376" s="695">
        <v>15160.89</v>
      </c>
      <c r="L376" s="683">
        <v>41236</v>
      </c>
      <c r="M376" s="707">
        <v>12450.95</v>
      </c>
      <c r="N376" s="683">
        <v>41600</v>
      </c>
      <c r="O376" s="690">
        <v>21759.01</v>
      </c>
      <c r="P376" s="689">
        <v>41964</v>
      </c>
      <c r="Q376" s="686">
        <v>18017.400000000001</v>
      </c>
      <c r="R376" s="689">
        <f t="shared" si="809"/>
        <v>42328</v>
      </c>
      <c r="S376" s="719">
        <v>18514.71</v>
      </c>
      <c r="T376" s="689">
        <f t="shared" si="809"/>
        <v>42699</v>
      </c>
      <c r="U376" s="719">
        <v>19398.91</v>
      </c>
      <c r="V376" s="689">
        <f t="shared" ref="V376:Z376" si="817">V375+1</f>
        <v>43063</v>
      </c>
      <c r="W376" s="768">
        <v>18055.560000000001</v>
      </c>
      <c r="X376" s="689">
        <f t="shared" ref="X376" si="818">X375+1</f>
        <v>43427</v>
      </c>
      <c r="Y376" s="768">
        <v>15435.81</v>
      </c>
      <c r="Z376" s="689">
        <f t="shared" si="817"/>
        <v>43791</v>
      </c>
      <c r="AA376" s="768">
        <v>20150.05</v>
      </c>
      <c r="AB376" s="689">
        <f t="shared" ref="AB376" si="819">AB375+1</f>
        <v>44155</v>
      </c>
      <c r="AC376" s="774"/>
      <c r="AD376" s="864"/>
      <c r="AJ376" s="751"/>
      <c r="AK376" s="752"/>
      <c r="AL376" s="753"/>
      <c r="AM376" s="762">
        <f t="shared" si="808"/>
        <v>0</v>
      </c>
      <c r="AN376" s="763">
        <f t="shared" si="813"/>
        <v>44519</v>
      </c>
    </row>
    <row r="377" spans="1:40" hidden="1">
      <c r="A377" s="7">
        <v>11</v>
      </c>
      <c r="B377">
        <v>4</v>
      </c>
      <c r="C377" t="s">
        <v>108</v>
      </c>
      <c r="D377" s="697">
        <v>39774</v>
      </c>
      <c r="E377" s="695">
        <v>22343.63</v>
      </c>
      <c r="F377" s="697">
        <v>40138</v>
      </c>
      <c r="G377" s="695">
        <v>18004.259999999998</v>
      </c>
      <c r="H377" s="697">
        <v>40502</v>
      </c>
      <c r="I377" s="695">
        <v>18454.2</v>
      </c>
      <c r="J377" s="683">
        <v>40866</v>
      </c>
      <c r="K377" s="695">
        <v>18264.900000000001</v>
      </c>
      <c r="L377" s="683">
        <v>41237</v>
      </c>
      <c r="M377" s="707">
        <v>16629</v>
      </c>
      <c r="N377" s="683">
        <v>41601</v>
      </c>
      <c r="O377" s="690">
        <v>20801.75</v>
      </c>
      <c r="P377" s="689">
        <v>41965</v>
      </c>
      <c r="Q377" s="686">
        <v>18470.77</v>
      </c>
      <c r="R377" s="689">
        <f t="shared" si="809"/>
        <v>42329</v>
      </c>
      <c r="S377" s="719">
        <v>19555.400000000001</v>
      </c>
      <c r="T377" s="689">
        <f t="shared" si="809"/>
        <v>42700</v>
      </c>
      <c r="U377" s="719">
        <v>21152.66</v>
      </c>
      <c r="V377" s="689">
        <f t="shared" ref="V377:Z377" si="820">V376+1</f>
        <v>43064</v>
      </c>
      <c r="W377" s="768">
        <v>18489.37</v>
      </c>
      <c r="X377" s="689">
        <f t="shared" ref="X377" si="821">X376+1</f>
        <v>43428</v>
      </c>
      <c r="Y377" s="768">
        <v>16179.33</v>
      </c>
      <c r="Z377" s="689">
        <f t="shared" si="820"/>
        <v>43792</v>
      </c>
      <c r="AA377" s="768">
        <v>25595.23</v>
      </c>
      <c r="AB377" s="689">
        <f t="shared" ref="AB377" si="822">AB376+1</f>
        <v>44156</v>
      </c>
      <c r="AC377" s="774"/>
      <c r="AD377" s="864"/>
      <c r="AJ377" s="751"/>
      <c r="AK377" s="752"/>
      <c r="AL377" s="753"/>
      <c r="AM377" s="762">
        <f t="shared" si="808"/>
        <v>0</v>
      </c>
      <c r="AN377" s="763">
        <f t="shared" si="813"/>
        <v>44520</v>
      </c>
    </row>
    <row r="378" spans="1:40" ht="15.75" hidden="1" thickBot="1">
      <c r="A378" s="12">
        <v>11</v>
      </c>
      <c r="B378" s="14">
        <v>4</v>
      </c>
      <c r="C378" s="14" t="s">
        <v>109</v>
      </c>
      <c r="D378" s="697">
        <v>39775</v>
      </c>
      <c r="E378" s="695">
        <v>4668.25</v>
      </c>
      <c r="F378" s="699">
        <v>40139</v>
      </c>
      <c r="G378" s="695">
        <v>4206.92</v>
      </c>
      <c r="H378" s="699">
        <v>40503</v>
      </c>
      <c r="I378" s="695">
        <v>3168</v>
      </c>
      <c r="J378" s="700">
        <v>40867</v>
      </c>
      <c r="K378" s="695">
        <v>6264.72</v>
      </c>
      <c r="L378" s="683">
        <v>41238</v>
      </c>
      <c r="M378" s="707">
        <v>6276.45</v>
      </c>
      <c r="N378" s="683">
        <v>41602</v>
      </c>
      <c r="O378" s="690">
        <v>7214.65</v>
      </c>
      <c r="P378" s="689">
        <v>41966</v>
      </c>
      <c r="Q378" s="686">
        <v>9391.4500000000007</v>
      </c>
      <c r="R378" s="761">
        <f t="shared" si="809"/>
        <v>42330</v>
      </c>
      <c r="S378" s="723">
        <v>13115.17</v>
      </c>
      <c r="T378" s="761">
        <f t="shared" si="809"/>
        <v>42701</v>
      </c>
      <c r="U378" s="723">
        <v>11832.05</v>
      </c>
      <c r="V378" s="761">
        <f t="shared" ref="V378:Z378" si="823">V377+1</f>
        <v>43065</v>
      </c>
      <c r="W378" s="769">
        <v>10335.209999999999</v>
      </c>
      <c r="X378" s="761">
        <f t="shared" ref="X378" si="824">X377+1</f>
        <v>43429</v>
      </c>
      <c r="Y378" s="769">
        <v>8737.82</v>
      </c>
      <c r="Z378" s="761">
        <f t="shared" si="823"/>
        <v>43793</v>
      </c>
      <c r="AA378" s="769">
        <v>12005.95</v>
      </c>
      <c r="AB378" s="761">
        <f t="shared" ref="AB378" si="825">AB377+1</f>
        <v>44157</v>
      </c>
      <c r="AC378" s="775"/>
      <c r="AD378" s="865"/>
      <c r="AE378" s="203">
        <f>SUM(E372:E378)</f>
        <v>101782.39000000001</v>
      </c>
      <c r="AF378" s="203">
        <f>SUM(G372:G378)</f>
        <v>81136.36</v>
      </c>
      <c r="AG378" s="203">
        <f>SUM(I372:I378)</f>
        <v>72680.739999999991</v>
      </c>
      <c r="AH378" s="203">
        <f>SUM(K372:K378)</f>
        <v>84511.25</v>
      </c>
      <c r="AI378" s="203">
        <f>SUM(M372:M378)</f>
        <v>61288.92</v>
      </c>
      <c r="AJ378" s="751"/>
      <c r="AK378" s="752"/>
      <c r="AL378" s="754"/>
      <c r="AM378" s="762">
        <f t="shared" si="808"/>
        <v>0</v>
      </c>
      <c r="AN378" s="763">
        <f t="shared" si="813"/>
        <v>44521</v>
      </c>
    </row>
    <row r="379" spans="1:40" ht="15.75" hidden="1" thickBot="1">
      <c r="A379" s="7"/>
      <c r="C379" s="809" t="s">
        <v>282</v>
      </c>
      <c r="D379" s="810"/>
      <c r="E379" s="811"/>
      <c r="F379" s="810"/>
      <c r="G379" s="811"/>
      <c r="H379" s="810"/>
      <c r="I379" s="811"/>
      <c r="J379" s="812"/>
      <c r="K379" s="813"/>
      <c r="L379" s="812"/>
      <c r="M379" s="813"/>
      <c r="N379" s="812"/>
      <c r="O379" s="814">
        <f>SUM(O372:O378)</f>
        <v>98334.459999999992</v>
      </c>
      <c r="P379" s="812"/>
      <c r="Q379" s="814">
        <f>SUM(Q372:Q378)</f>
        <v>103632.03</v>
      </c>
      <c r="R379" s="815"/>
      <c r="S379" s="816">
        <f>SUM(S372:S378)</f>
        <v>99760.779999999984</v>
      </c>
      <c r="T379" s="815"/>
      <c r="U379" s="816">
        <f>SUM(U372:U378)</f>
        <v>87151.24</v>
      </c>
      <c r="V379" s="815"/>
      <c r="W379" s="816">
        <f>SUM(W372:W378)</f>
        <v>80398.94</v>
      </c>
      <c r="X379" s="815"/>
      <c r="Y379" s="816">
        <f>SUM(Y372:Y378)</f>
        <v>78881.450000000012</v>
      </c>
      <c r="Z379" s="815"/>
      <c r="AA379" s="816">
        <f>SUM(AA372:AA378)</f>
        <v>114108.29</v>
      </c>
      <c r="AB379" s="815"/>
      <c r="AC379" s="816">
        <f>SUM(AC372:AC378)</f>
        <v>0</v>
      </c>
      <c r="AD379" s="819"/>
      <c r="AE379" s="203"/>
      <c r="AF379" s="203"/>
      <c r="AG379" s="203"/>
      <c r="AH379" s="203"/>
      <c r="AI379" s="203"/>
      <c r="AJ379" s="641">
        <f>SUM(AJ372:AJ378)</f>
        <v>0</v>
      </c>
      <c r="AK379" s="642">
        <f>SUM(AK372:AK378)</f>
        <v>0</v>
      </c>
      <c r="AL379" s="642">
        <f>SUM(AL372:AL378)</f>
        <v>0</v>
      </c>
      <c r="AM379" s="643">
        <f>SUM(AM372:AM378)</f>
        <v>0</v>
      </c>
    </row>
    <row r="380" spans="1:40" ht="15.75" hidden="1" thickBot="1">
      <c r="A380" s="5">
        <v>12</v>
      </c>
      <c r="B380" s="16">
        <v>1</v>
      </c>
      <c r="C380" s="16" t="s">
        <v>103</v>
      </c>
      <c r="D380" s="699">
        <v>39776</v>
      </c>
      <c r="E380" s="695">
        <v>5572.85</v>
      </c>
      <c r="F380" s="694">
        <v>40140</v>
      </c>
      <c r="G380" s="695">
        <v>6030.42</v>
      </c>
      <c r="H380" s="694">
        <v>40504</v>
      </c>
      <c r="I380" s="695">
        <v>6334.21</v>
      </c>
      <c r="J380" s="701">
        <v>40868</v>
      </c>
      <c r="K380" s="695">
        <v>10841.12</v>
      </c>
      <c r="L380" s="683">
        <v>41239</v>
      </c>
      <c r="M380" s="707">
        <v>5096.6499999999996</v>
      </c>
      <c r="N380" s="683">
        <v>41603</v>
      </c>
      <c r="O380" s="686">
        <v>7812.16</v>
      </c>
      <c r="P380" s="689">
        <f>P378+1</f>
        <v>41967</v>
      </c>
      <c r="Q380" s="686">
        <v>6365.4</v>
      </c>
      <c r="R380" s="635">
        <f>R378+1</f>
        <v>42331</v>
      </c>
      <c r="S380" s="717">
        <v>8731.0499999999993</v>
      </c>
      <c r="T380" s="635">
        <f>T378+1</f>
        <v>42702</v>
      </c>
      <c r="U380" s="717"/>
      <c r="V380" s="635">
        <f>V378+1</f>
        <v>43066</v>
      </c>
      <c r="W380" s="717"/>
      <c r="X380" s="635">
        <f>X378+1</f>
        <v>43430</v>
      </c>
      <c r="Y380" s="717"/>
      <c r="Z380" s="635">
        <f>Z378+1</f>
        <v>43794</v>
      </c>
      <c r="AA380" s="717"/>
      <c r="AB380" s="635">
        <f>AB378+1</f>
        <v>44158</v>
      </c>
      <c r="AC380" s="717"/>
      <c r="AD380" s="863" t="s">
        <v>157</v>
      </c>
    </row>
    <row r="381" spans="1:40" hidden="1">
      <c r="A381" s="7">
        <v>12</v>
      </c>
      <c r="B381">
        <v>1</v>
      </c>
      <c r="C381" t="s">
        <v>104</v>
      </c>
      <c r="D381" s="694">
        <v>39777</v>
      </c>
      <c r="E381" s="695">
        <v>9843.7900000000009</v>
      </c>
      <c r="F381" s="697">
        <v>40141</v>
      </c>
      <c r="G381" s="695">
        <v>8603.26</v>
      </c>
      <c r="H381" s="697">
        <v>40505</v>
      </c>
      <c r="I381" s="695">
        <v>7884.32</v>
      </c>
      <c r="J381" s="683">
        <v>40869</v>
      </c>
      <c r="K381" s="695">
        <v>12647.15</v>
      </c>
      <c r="L381" s="683">
        <v>41240</v>
      </c>
      <c r="M381" s="707">
        <v>8259.41</v>
      </c>
      <c r="N381" s="683">
        <v>41604</v>
      </c>
      <c r="O381" s="686">
        <v>9594.5499999999993</v>
      </c>
      <c r="P381" s="689">
        <f t="shared" ref="P381:P418" si="826">P380+1</f>
        <v>41968</v>
      </c>
      <c r="Q381" s="686">
        <v>13372.3</v>
      </c>
      <c r="R381" s="689">
        <f>R380+1</f>
        <v>42332</v>
      </c>
      <c r="S381" s="719">
        <v>12125.75</v>
      </c>
      <c r="T381" s="689">
        <f>T380+1</f>
        <v>42703</v>
      </c>
      <c r="U381" s="719"/>
      <c r="V381" s="689">
        <f>V380+1</f>
        <v>43067</v>
      </c>
      <c r="W381" s="719"/>
      <c r="X381" s="689">
        <f>X380+1</f>
        <v>43431</v>
      </c>
      <c r="Y381" s="719"/>
      <c r="Z381" s="689">
        <f>Z380+1</f>
        <v>43795</v>
      </c>
      <c r="AA381" s="719"/>
      <c r="AB381" s="689">
        <f>AB380+1</f>
        <v>44159</v>
      </c>
      <c r="AC381" s="719"/>
      <c r="AD381" s="864"/>
    </row>
    <row r="382" spans="1:40" hidden="1">
      <c r="A382" s="7">
        <v>12</v>
      </c>
      <c r="B382">
        <v>1</v>
      </c>
      <c r="C382" t="s">
        <v>105</v>
      </c>
      <c r="D382" s="697">
        <v>39778</v>
      </c>
      <c r="E382" s="695">
        <v>11806.8</v>
      </c>
      <c r="F382" s="697">
        <v>40142</v>
      </c>
      <c r="G382" s="695">
        <v>10263.24</v>
      </c>
      <c r="H382" s="697">
        <v>40506</v>
      </c>
      <c r="I382" s="695">
        <v>9791.32</v>
      </c>
      <c r="J382" s="683">
        <v>40870</v>
      </c>
      <c r="K382" s="695">
        <v>11239.64</v>
      </c>
      <c r="L382" s="683">
        <v>41241</v>
      </c>
      <c r="M382" s="707">
        <v>10900.13</v>
      </c>
      <c r="N382" s="683">
        <v>41605</v>
      </c>
      <c r="O382" s="686">
        <v>11531</v>
      </c>
      <c r="P382" s="689">
        <f t="shared" si="826"/>
        <v>41969</v>
      </c>
      <c r="Q382" s="686">
        <v>4730.7</v>
      </c>
      <c r="R382" s="689">
        <f t="shared" ref="R382:T386" si="827">R381+1</f>
        <v>42333</v>
      </c>
      <c r="S382" s="719">
        <v>13637.35</v>
      </c>
      <c r="T382" s="689">
        <f t="shared" si="827"/>
        <v>42704</v>
      </c>
      <c r="U382" s="719"/>
      <c r="V382" s="689">
        <f t="shared" ref="V382:Z382" si="828">V381+1</f>
        <v>43068</v>
      </c>
      <c r="W382" s="719"/>
      <c r="X382" s="689">
        <f t="shared" ref="X382" si="829">X381+1</f>
        <v>43432</v>
      </c>
      <c r="Y382" s="719"/>
      <c r="Z382" s="689">
        <f t="shared" si="828"/>
        <v>43796</v>
      </c>
      <c r="AA382" s="719"/>
      <c r="AB382" s="689">
        <f t="shared" ref="AB382" si="830">AB381+1</f>
        <v>44160</v>
      </c>
      <c r="AC382" s="719"/>
      <c r="AD382" s="864"/>
    </row>
    <row r="383" spans="1:40" hidden="1">
      <c r="A383" s="7">
        <v>12</v>
      </c>
      <c r="B383">
        <v>1</v>
      </c>
      <c r="C383" t="s">
        <v>106</v>
      </c>
      <c r="D383" s="697">
        <v>39779</v>
      </c>
      <c r="E383" s="710">
        <v>0</v>
      </c>
      <c r="F383" s="697">
        <v>40143</v>
      </c>
      <c r="G383" s="710">
        <v>0</v>
      </c>
      <c r="H383" s="697">
        <v>40507</v>
      </c>
      <c r="I383" s="710">
        <v>0</v>
      </c>
      <c r="J383" s="683">
        <v>40871</v>
      </c>
      <c r="K383" s="679">
        <v>0</v>
      </c>
      <c r="L383" s="683">
        <v>41242</v>
      </c>
      <c r="M383" s="679">
        <v>12426.85</v>
      </c>
      <c r="N383" s="683">
        <v>41606</v>
      </c>
      <c r="O383" s="685">
        <v>0</v>
      </c>
      <c r="P383" s="689">
        <f t="shared" si="826"/>
        <v>41970</v>
      </c>
      <c r="Q383" s="685">
        <v>0</v>
      </c>
      <c r="R383" s="689">
        <f t="shared" si="827"/>
        <v>42334</v>
      </c>
      <c r="S383" s="719"/>
      <c r="T383" s="689">
        <f t="shared" si="827"/>
        <v>42705</v>
      </c>
      <c r="U383" s="719"/>
      <c r="V383" s="689">
        <f t="shared" ref="V383:Z383" si="831">V382+1</f>
        <v>43069</v>
      </c>
      <c r="W383" s="719"/>
      <c r="X383" s="689">
        <f t="shared" ref="X383" si="832">X382+1</f>
        <v>43433</v>
      </c>
      <c r="Y383" s="719"/>
      <c r="Z383" s="689">
        <f t="shared" si="831"/>
        <v>43797</v>
      </c>
      <c r="AA383" s="719"/>
      <c r="AB383" s="689">
        <f t="shared" ref="AB383" si="833">AB382+1</f>
        <v>44161</v>
      </c>
      <c r="AC383" s="719"/>
      <c r="AD383" s="864"/>
    </row>
    <row r="384" spans="1:40" hidden="1">
      <c r="A384" s="7">
        <v>12</v>
      </c>
      <c r="B384">
        <v>1</v>
      </c>
      <c r="C384" t="s">
        <v>107</v>
      </c>
      <c r="D384" s="697">
        <v>39780</v>
      </c>
      <c r="E384" s="695">
        <v>17286.7</v>
      </c>
      <c r="F384" s="697">
        <v>40144</v>
      </c>
      <c r="G384" s="695">
        <v>14891.42</v>
      </c>
      <c r="H384" s="697">
        <v>40508</v>
      </c>
      <c r="I384" s="695">
        <v>11895.44</v>
      </c>
      <c r="J384" s="683">
        <v>40872</v>
      </c>
      <c r="K384" s="695">
        <v>13500.79</v>
      </c>
      <c r="L384" s="683">
        <v>41243</v>
      </c>
      <c r="M384" s="707">
        <v>16909.349999999999</v>
      </c>
      <c r="N384" s="683">
        <v>41607</v>
      </c>
      <c r="O384" s="686">
        <v>12381.55</v>
      </c>
      <c r="P384" s="689">
        <f t="shared" si="826"/>
        <v>41971</v>
      </c>
      <c r="Q384" s="686">
        <v>15723.5</v>
      </c>
      <c r="R384" s="689">
        <f t="shared" si="827"/>
        <v>42335</v>
      </c>
      <c r="S384" s="719">
        <v>17721.46</v>
      </c>
      <c r="T384" s="689">
        <f t="shared" si="827"/>
        <v>42706</v>
      </c>
      <c r="U384" s="719"/>
      <c r="V384" s="689">
        <f t="shared" ref="V384:Z384" si="834">V383+1</f>
        <v>43070</v>
      </c>
      <c r="W384" s="719"/>
      <c r="X384" s="689">
        <f t="shared" ref="X384" si="835">X383+1</f>
        <v>43434</v>
      </c>
      <c r="Y384" s="719"/>
      <c r="Z384" s="689">
        <f t="shared" si="834"/>
        <v>43798</v>
      </c>
      <c r="AA384" s="719"/>
      <c r="AB384" s="689">
        <f t="shared" ref="AB384" si="836">AB383+1</f>
        <v>44162</v>
      </c>
      <c r="AC384" s="719"/>
      <c r="AD384" s="864"/>
    </row>
    <row r="385" spans="1:38" hidden="1">
      <c r="A385" s="7">
        <v>12</v>
      </c>
      <c r="B385">
        <v>1</v>
      </c>
      <c r="C385" t="s">
        <v>108</v>
      </c>
      <c r="D385" s="697">
        <v>39781</v>
      </c>
      <c r="E385" s="695">
        <v>20202.5</v>
      </c>
      <c r="F385" s="697">
        <v>40145</v>
      </c>
      <c r="G385" s="695">
        <v>17994.45</v>
      </c>
      <c r="H385" s="697">
        <v>40509</v>
      </c>
      <c r="I385" s="695">
        <v>13490.17</v>
      </c>
      <c r="J385" s="683">
        <v>40873</v>
      </c>
      <c r="K385" s="695">
        <v>18801.3</v>
      </c>
      <c r="L385" s="683">
        <v>41244</v>
      </c>
      <c r="M385" s="707">
        <v>19576.400000000001</v>
      </c>
      <c r="N385" s="683">
        <v>41608</v>
      </c>
      <c r="O385" s="686">
        <v>18519.66</v>
      </c>
      <c r="P385" s="689">
        <f t="shared" si="826"/>
        <v>41972</v>
      </c>
      <c r="Q385" s="686">
        <v>18955.84</v>
      </c>
      <c r="R385" s="689">
        <f t="shared" si="827"/>
        <v>42336</v>
      </c>
      <c r="S385" s="719">
        <v>16923.11</v>
      </c>
      <c r="T385" s="689">
        <f t="shared" si="827"/>
        <v>42707</v>
      </c>
      <c r="U385" s="719"/>
      <c r="V385" s="689">
        <f t="shared" ref="V385:Z385" si="837">V384+1</f>
        <v>43071</v>
      </c>
      <c r="W385" s="719"/>
      <c r="X385" s="689">
        <f t="shared" ref="X385" si="838">X384+1</f>
        <v>43435</v>
      </c>
      <c r="Y385" s="719"/>
      <c r="Z385" s="689">
        <f t="shared" si="837"/>
        <v>43799</v>
      </c>
      <c r="AA385" s="719"/>
      <c r="AB385" s="689">
        <f t="shared" ref="AB385" si="839">AB384+1</f>
        <v>44163</v>
      </c>
      <c r="AC385" s="719"/>
      <c r="AD385" s="864"/>
    </row>
    <row r="386" spans="1:38" ht="15.75" hidden="1" thickBot="1">
      <c r="A386" s="12">
        <v>12</v>
      </c>
      <c r="B386" s="14">
        <v>1</v>
      </c>
      <c r="C386" s="14" t="s">
        <v>109</v>
      </c>
      <c r="D386" s="697">
        <v>39782</v>
      </c>
      <c r="E386" s="695">
        <v>3919.36</v>
      </c>
      <c r="F386" s="699">
        <v>40146</v>
      </c>
      <c r="G386" s="695">
        <v>4959.63</v>
      </c>
      <c r="H386" s="699">
        <v>40510</v>
      </c>
      <c r="I386" s="695">
        <v>1939.34</v>
      </c>
      <c r="J386" s="700">
        <v>40874</v>
      </c>
      <c r="K386" s="695">
        <v>2198.4</v>
      </c>
      <c r="L386" s="683">
        <v>41245</v>
      </c>
      <c r="M386" s="707">
        <v>4574.8500000000004</v>
      </c>
      <c r="N386" s="683">
        <v>41609</v>
      </c>
      <c r="O386" s="686">
        <v>8336.31</v>
      </c>
      <c r="P386" s="689">
        <f t="shared" si="826"/>
        <v>41973</v>
      </c>
      <c r="Q386" s="686">
        <v>8521.81</v>
      </c>
      <c r="R386" s="761">
        <f t="shared" si="827"/>
        <v>42337</v>
      </c>
      <c r="S386" s="723">
        <v>15422.05</v>
      </c>
      <c r="T386" s="761">
        <f t="shared" si="827"/>
        <v>42708</v>
      </c>
      <c r="U386" s="723"/>
      <c r="V386" s="761">
        <f t="shared" ref="V386:Z386" si="840">V385+1</f>
        <v>43072</v>
      </c>
      <c r="W386" s="723"/>
      <c r="X386" s="761">
        <f t="shared" ref="X386" si="841">X385+1</f>
        <v>43436</v>
      </c>
      <c r="Y386" s="723"/>
      <c r="Z386" s="761">
        <f t="shared" si="840"/>
        <v>43800</v>
      </c>
      <c r="AA386" s="723"/>
      <c r="AB386" s="761">
        <f t="shared" ref="AB386" si="842">AB385+1</f>
        <v>44164</v>
      </c>
      <c r="AC386" s="723"/>
      <c r="AD386" s="865"/>
      <c r="AE386" s="203">
        <f>SUM(E380:E386)</f>
        <v>68632</v>
      </c>
      <c r="AF386" s="203">
        <f>SUM(G380:G386)</f>
        <v>62742.419999999991</v>
      </c>
      <c r="AG386" s="203">
        <f>SUM(I380:I386)</f>
        <v>51334.799999999996</v>
      </c>
      <c r="AH386" s="203">
        <f>SUM(K380:K386)</f>
        <v>69228.399999999994</v>
      </c>
      <c r="AI386" s="203">
        <f>SUM(M380:M386)</f>
        <v>77743.640000000014</v>
      </c>
      <c r="AL386" s="203"/>
    </row>
    <row r="387" spans="1:38" ht="15.75" hidden="1" thickBot="1">
      <c r="A387" s="7"/>
      <c r="C387" s="809" t="s">
        <v>282</v>
      </c>
      <c r="D387" s="810"/>
      <c r="E387" s="811"/>
      <c r="F387" s="810"/>
      <c r="G387" s="811"/>
      <c r="H387" s="810"/>
      <c r="I387" s="811"/>
      <c r="J387" s="812"/>
      <c r="K387" s="813"/>
      <c r="L387" s="812"/>
      <c r="M387" s="813"/>
      <c r="N387" s="812"/>
      <c r="O387" s="814">
        <f>SUM(O380:O386)</f>
        <v>68175.23</v>
      </c>
      <c r="P387" s="812"/>
      <c r="Q387" s="814">
        <f>SUM(Q380:Q386)</f>
        <v>67669.549999999988</v>
      </c>
      <c r="R387" s="815"/>
      <c r="S387" s="816">
        <f>SUM(S380:S386)</f>
        <v>84560.77</v>
      </c>
      <c r="T387" s="815"/>
      <c r="U387" s="816">
        <f>SUM(U380:U386)</f>
        <v>0</v>
      </c>
      <c r="V387" s="815"/>
      <c r="W387" s="816">
        <f>SUM(W380:W386)</f>
        <v>0</v>
      </c>
      <c r="X387" s="815"/>
      <c r="Y387" s="816">
        <f>SUM(Y380:Y386)</f>
        <v>0</v>
      </c>
      <c r="Z387" s="815"/>
      <c r="AA387" s="816">
        <f>SUM(AA380:AA386)</f>
        <v>0</v>
      </c>
      <c r="AB387" s="815"/>
      <c r="AC387" s="816">
        <f>SUM(AC380:AC386)</f>
        <v>0</v>
      </c>
      <c r="AD387" s="758"/>
      <c r="AE387" s="203"/>
      <c r="AF387" s="203"/>
      <c r="AG387" s="203"/>
      <c r="AH387" s="203"/>
      <c r="AI387" s="203"/>
      <c r="AL387" s="203"/>
    </row>
    <row r="388" spans="1:38" ht="15.75" hidden="1" thickBot="1">
      <c r="A388" s="5">
        <v>12</v>
      </c>
      <c r="B388" s="16">
        <v>2</v>
      </c>
      <c r="C388" s="16" t="s">
        <v>103</v>
      </c>
      <c r="D388" s="699">
        <v>39783</v>
      </c>
      <c r="E388" s="695">
        <v>5348.86</v>
      </c>
      <c r="F388" s="694">
        <v>40147</v>
      </c>
      <c r="G388" s="695">
        <v>5475.42</v>
      </c>
      <c r="H388" s="694">
        <v>40511</v>
      </c>
      <c r="I388" s="695">
        <v>5258.29</v>
      </c>
      <c r="J388" s="701">
        <v>40875</v>
      </c>
      <c r="K388" s="695">
        <v>5076.8999999999996</v>
      </c>
      <c r="L388" s="683">
        <v>41246</v>
      </c>
      <c r="M388" s="707">
        <v>9490.6</v>
      </c>
      <c r="N388" s="683">
        <v>41610</v>
      </c>
      <c r="O388" s="686">
        <v>8427.81</v>
      </c>
      <c r="P388" s="689">
        <f>P386+1</f>
        <v>41974</v>
      </c>
      <c r="Q388" s="686">
        <v>5977.05</v>
      </c>
      <c r="R388" s="681"/>
      <c r="S388" s="717"/>
      <c r="T388" s="681"/>
      <c r="U388" s="717"/>
      <c r="V388" s="681"/>
      <c r="W388" s="717"/>
      <c r="X388" s="681"/>
      <c r="Y388" s="717"/>
      <c r="Z388" s="681"/>
      <c r="AA388" s="717"/>
      <c r="AB388" s="681"/>
      <c r="AC388" s="717"/>
      <c r="AD388" s="863" t="s">
        <v>158</v>
      </c>
    </row>
    <row r="389" spans="1:38" hidden="1">
      <c r="A389" s="7">
        <v>12</v>
      </c>
      <c r="B389">
        <v>2</v>
      </c>
      <c r="C389" t="s">
        <v>104</v>
      </c>
      <c r="D389" s="694">
        <v>39784</v>
      </c>
      <c r="E389" s="695">
        <v>9840.6</v>
      </c>
      <c r="F389" s="697">
        <v>40148</v>
      </c>
      <c r="G389" s="695">
        <v>8758.74</v>
      </c>
      <c r="H389" s="697">
        <v>40512</v>
      </c>
      <c r="I389" s="695">
        <v>11743.06</v>
      </c>
      <c r="J389" s="683">
        <v>40876</v>
      </c>
      <c r="K389" s="695">
        <v>8152.22</v>
      </c>
      <c r="L389" s="683">
        <v>41247</v>
      </c>
      <c r="M389" s="707">
        <v>9703.0499999999993</v>
      </c>
      <c r="N389" s="683">
        <v>41611</v>
      </c>
      <c r="O389" s="686">
        <v>12673.95</v>
      </c>
      <c r="P389" s="689">
        <f t="shared" si="826"/>
        <v>41975</v>
      </c>
      <c r="Q389" s="686">
        <v>8876.7000000000007</v>
      </c>
      <c r="R389" s="679"/>
      <c r="S389" s="719"/>
      <c r="T389" s="679"/>
      <c r="U389" s="719"/>
      <c r="V389" s="679"/>
      <c r="W389" s="719"/>
      <c r="X389" s="679"/>
      <c r="Y389" s="719"/>
      <c r="Z389" s="679"/>
      <c r="AA389" s="719"/>
      <c r="AB389" s="679"/>
      <c r="AC389" s="719"/>
      <c r="AD389" s="864"/>
    </row>
    <row r="390" spans="1:38" hidden="1">
      <c r="A390" s="7">
        <v>12</v>
      </c>
      <c r="B390">
        <v>2</v>
      </c>
      <c r="C390" t="s">
        <v>105</v>
      </c>
      <c r="D390" s="697">
        <v>39785</v>
      </c>
      <c r="E390" s="695">
        <v>11128.42</v>
      </c>
      <c r="F390" s="697">
        <v>40149</v>
      </c>
      <c r="G390" s="695">
        <v>10739.02</v>
      </c>
      <c r="H390" s="683">
        <v>40513</v>
      </c>
      <c r="I390" s="695">
        <v>5216.3900000000003</v>
      </c>
      <c r="J390" s="683">
        <v>40877</v>
      </c>
      <c r="K390" s="695">
        <v>12476</v>
      </c>
      <c r="L390" s="683">
        <v>41248</v>
      </c>
      <c r="M390" s="707">
        <v>13465.18</v>
      </c>
      <c r="N390" s="683">
        <v>41612</v>
      </c>
      <c r="O390" s="686">
        <v>13893.82</v>
      </c>
      <c r="P390" s="689">
        <f t="shared" si="826"/>
        <v>41976</v>
      </c>
      <c r="Q390" s="686">
        <v>12466.95</v>
      </c>
      <c r="R390" s="679"/>
      <c r="S390" s="719"/>
      <c r="T390" s="679"/>
      <c r="U390" s="719"/>
      <c r="V390" s="679"/>
      <c r="W390" s="719"/>
      <c r="X390" s="679"/>
      <c r="Y390" s="719"/>
      <c r="Z390" s="679"/>
      <c r="AA390" s="719"/>
      <c r="AB390" s="679"/>
      <c r="AC390" s="719"/>
      <c r="AD390" s="864"/>
    </row>
    <row r="391" spans="1:38" hidden="1">
      <c r="A391" s="7">
        <v>12</v>
      </c>
      <c r="B391">
        <v>2</v>
      </c>
      <c r="C391" t="s">
        <v>106</v>
      </c>
      <c r="D391" s="697">
        <v>39786</v>
      </c>
      <c r="E391" s="695">
        <v>13773.27</v>
      </c>
      <c r="F391" s="697">
        <v>40150</v>
      </c>
      <c r="G391" s="695">
        <v>16218.85</v>
      </c>
      <c r="H391" s="683">
        <v>40514</v>
      </c>
      <c r="I391" s="695">
        <v>11815.29</v>
      </c>
      <c r="J391" s="683">
        <v>40878</v>
      </c>
      <c r="K391" s="695">
        <v>10121.23</v>
      </c>
      <c r="L391" s="683">
        <v>41249</v>
      </c>
      <c r="M391" s="707">
        <v>13068.27</v>
      </c>
      <c r="N391" s="683">
        <v>41613</v>
      </c>
      <c r="O391" s="686">
        <v>14072.04</v>
      </c>
      <c r="P391" s="689">
        <f t="shared" si="826"/>
        <v>41977</v>
      </c>
      <c r="Q391" s="686">
        <v>13747.9</v>
      </c>
      <c r="R391" s="679"/>
      <c r="S391" s="719"/>
      <c r="T391" s="679"/>
      <c r="U391" s="719"/>
      <c r="V391" s="679"/>
      <c r="W391" s="719"/>
      <c r="X391" s="679"/>
      <c r="Y391" s="719"/>
      <c r="Z391" s="679"/>
      <c r="AA391" s="719"/>
      <c r="AB391" s="679"/>
      <c r="AC391" s="719"/>
      <c r="AD391" s="864"/>
    </row>
    <row r="392" spans="1:38" hidden="1">
      <c r="A392" s="7">
        <v>12</v>
      </c>
      <c r="B392">
        <v>2</v>
      </c>
      <c r="C392" t="s">
        <v>107</v>
      </c>
      <c r="D392" s="697">
        <v>39787</v>
      </c>
      <c r="E392" s="695">
        <v>20659.09</v>
      </c>
      <c r="F392" s="697">
        <v>40151</v>
      </c>
      <c r="G392" s="695">
        <v>23404.91</v>
      </c>
      <c r="H392" s="683">
        <v>40515</v>
      </c>
      <c r="I392" s="695">
        <v>15832.78</v>
      </c>
      <c r="J392" s="683">
        <v>40879</v>
      </c>
      <c r="K392" s="679">
        <v>19676.79</v>
      </c>
      <c r="L392" s="683">
        <v>41250</v>
      </c>
      <c r="M392" s="679">
        <v>22976.36</v>
      </c>
      <c r="N392" s="683">
        <v>41614</v>
      </c>
      <c r="O392" s="685">
        <v>14825.05</v>
      </c>
      <c r="P392" s="689">
        <f t="shared" si="826"/>
        <v>41978</v>
      </c>
      <c r="Q392" s="685">
        <v>24608</v>
      </c>
      <c r="R392" s="679"/>
      <c r="S392" s="719"/>
      <c r="T392" s="679"/>
      <c r="U392" s="719"/>
      <c r="V392" s="679"/>
      <c r="W392" s="719"/>
      <c r="X392" s="679"/>
      <c r="Y392" s="719"/>
      <c r="Z392" s="679"/>
      <c r="AA392" s="719"/>
      <c r="AB392" s="679"/>
      <c r="AC392" s="719"/>
      <c r="AD392" s="864"/>
    </row>
    <row r="393" spans="1:38" hidden="1">
      <c r="A393" s="7">
        <v>12</v>
      </c>
      <c r="B393">
        <v>2</v>
      </c>
      <c r="C393" t="s">
        <v>108</v>
      </c>
      <c r="D393" s="697">
        <v>39788</v>
      </c>
      <c r="E393" s="695">
        <v>20338.3</v>
      </c>
      <c r="F393" s="697">
        <v>40152</v>
      </c>
      <c r="G393" s="695">
        <v>12855.11</v>
      </c>
      <c r="H393" s="683">
        <v>40516</v>
      </c>
      <c r="I393" s="695">
        <v>12892.72</v>
      </c>
      <c r="J393" s="683">
        <v>40880</v>
      </c>
      <c r="K393" s="679">
        <v>18772.830000000002</v>
      </c>
      <c r="L393" s="683">
        <v>41251</v>
      </c>
      <c r="M393" s="679">
        <v>19415.41</v>
      </c>
      <c r="N393" s="683">
        <v>41615</v>
      </c>
      <c r="O393" s="685">
        <v>20667.45</v>
      </c>
      <c r="P393" s="689">
        <f t="shared" si="826"/>
        <v>41979</v>
      </c>
      <c r="Q393" s="685">
        <v>21138.45</v>
      </c>
      <c r="R393" s="679"/>
      <c r="S393" s="719"/>
      <c r="T393" s="679"/>
      <c r="U393" s="719"/>
      <c r="V393" s="679"/>
      <c r="W393" s="719"/>
      <c r="X393" s="679"/>
      <c r="Y393" s="719"/>
      <c r="Z393" s="679"/>
      <c r="AA393" s="719"/>
      <c r="AB393" s="679"/>
      <c r="AC393" s="719"/>
      <c r="AD393" s="864"/>
    </row>
    <row r="394" spans="1:38" ht="15.75" hidden="1" thickBot="1">
      <c r="A394" s="12">
        <v>12</v>
      </c>
      <c r="B394" s="14">
        <v>2</v>
      </c>
      <c r="C394" s="14" t="s">
        <v>109</v>
      </c>
      <c r="D394" s="697">
        <v>39789</v>
      </c>
      <c r="E394" s="695">
        <v>4363.1099999999997</v>
      </c>
      <c r="F394" s="699">
        <v>40153</v>
      </c>
      <c r="G394" s="695">
        <v>4008.6</v>
      </c>
      <c r="H394" s="700">
        <v>40517</v>
      </c>
      <c r="I394" s="695">
        <v>2875</v>
      </c>
      <c r="J394" s="700">
        <v>40881</v>
      </c>
      <c r="K394" s="680">
        <v>4308.26</v>
      </c>
      <c r="L394" s="683">
        <v>41252</v>
      </c>
      <c r="M394" s="680">
        <v>4254.46</v>
      </c>
      <c r="N394" s="683">
        <v>41616</v>
      </c>
      <c r="O394" s="685">
        <v>11930.45</v>
      </c>
      <c r="P394" s="689">
        <f t="shared" si="826"/>
        <v>41980</v>
      </c>
      <c r="Q394" s="685">
        <v>12411.65</v>
      </c>
      <c r="R394" s="680"/>
      <c r="S394" s="723"/>
      <c r="T394" s="680"/>
      <c r="U394" s="723"/>
      <c r="V394" s="680"/>
      <c r="W394" s="723"/>
      <c r="X394" s="680"/>
      <c r="Y394" s="723"/>
      <c r="Z394" s="680"/>
      <c r="AA394" s="723"/>
      <c r="AB394" s="680"/>
      <c r="AC394" s="723"/>
      <c r="AD394" s="865"/>
      <c r="AE394" s="203">
        <f>SUM(E388:E394)</f>
        <v>85451.65</v>
      </c>
      <c r="AF394" s="203">
        <f>SUM(G388:G394)</f>
        <v>81460.650000000009</v>
      </c>
      <c r="AG394" s="203">
        <f>SUM(I388:I394)</f>
        <v>65633.53</v>
      </c>
      <c r="AH394" s="203">
        <f>SUM(K388:K394)</f>
        <v>78584.23</v>
      </c>
      <c r="AI394" s="203">
        <f>SUM(M388:M394)</f>
        <v>92373.330000000016</v>
      </c>
      <c r="AL394" s="203"/>
    </row>
    <row r="395" spans="1:38" ht="15.75" hidden="1" thickBot="1">
      <c r="A395" s="5">
        <v>12</v>
      </c>
      <c r="B395" s="16">
        <v>3</v>
      </c>
      <c r="C395" s="16" t="s">
        <v>103</v>
      </c>
      <c r="D395" s="699">
        <v>39790</v>
      </c>
      <c r="E395" s="695">
        <v>5769.56</v>
      </c>
      <c r="F395" s="694">
        <v>40154</v>
      </c>
      <c r="G395" s="695">
        <v>6381.75</v>
      </c>
      <c r="H395" s="701">
        <v>40518</v>
      </c>
      <c r="I395" s="695">
        <v>5790.8</v>
      </c>
      <c r="J395" s="701">
        <v>40882</v>
      </c>
      <c r="K395" s="681">
        <v>6359.25</v>
      </c>
      <c r="L395" s="683">
        <v>41253</v>
      </c>
      <c r="M395" s="681">
        <v>8507.51</v>
      </c>
      <c r="N395" s="683">
        <v>41617</v>
      </c>
      <c r="O395" s="685">
        <v>9729.24</v>
      </c>
      <c r="P395" s="689">
        <f t="shared" si="826"/>
        <v>41981</v>
      </c>
      <c r="Q395" s="685">
        <v>8110.71</v>
      </c>
      <c r="R395" s="681"/>
      <c r="S395" s="717"/>
      <c r="T395" s="681"/>
      <c r="U395" s="717"/>
      <c r="V395" s="681"/>
      <c r="W395" s="717"/>
      <c r="X395" s="681"/>
      <c r="Y395" s="717"/>
      <c r="Z395" s="681"/>
      <c r="AA395" s="717"/>
      <c r="AB395" s="681"/>
      <c r="AC395" s="717"/>
      <c r="AD395" s="863" t="s">
        <v>159</v>
      </c>
    </row>
    <row r="396" spans="1:38" hidden="1">
      <c r="A396" s="7">
        <v>12</v>
      </c>
      <c r="B396">
        <v>3</v>
      </c>
      <c r="C396" t="s">
        <v>104</v>
      </c>
      <c r="D396" s="694">
        <v>39791</v>
      </c>
      <c r="E396" s="695">
        <v>9647.18</v>
      </c>
      <c r="F396" s="697">
        <v>40155</v>
      </c>
      <c r="G396" s="695">
        <v>12406.37</v>
      </c>
      <c r="H396" s="683">
        <v>40519</v>
      </c>
      <c r="I396" s="695">
        <v>14684.79</v>
      </c>
      <c r="J396" s="683">
        <v>40883</v>
      </c>
      <c r="K396" s="679">
        <v>10550.84</v>
      </c>
      <c r="L396" s="683">
        <v>41254</v>
      </c>
      <c r="M396" s="679">
        <v>14805.26</v>
      </c>
      <c r="N396" s="683">
        <v>41618</v>
      </c>
      <c r="O396" s="685">
        <v>8817.0499999999993</v>
      </c>
      <c r="P396" s="689">
        <f t="shared" si="826"/>
        <v>41982</v>
      </c>
      <c r="Q396" s="685">
        <v>8892.5</v>
      </c>
      <c r="R396" s="679"/>
      <c r="S396" s="719"/>
      <c r="T396" s="679"/>
      <c r="U396" s="719"/>
      <c r="V396" s="679"/>
      <c r="W396" s="719"/>
      <c r="X396" s="679"/>
      <c r="Y396" s="719"/>
      <c r="Z396" s="679"/>
      <c r="AA396" s="719"/>
      <c r="AB396" s="679"/>
      <c r="AC396" s="719"/>
      <c r="AD396" s="864"/>
    </row>
    <row r="397" spans="1:38" hidden="1">
      <c r="A397" s="7">
        <v>12</v>
      </c>
      <c r="B397">
        <v>3</v>
      </c>
      <c r="C397" t="s">
        <v>105</v>
      </c>
      <c r="D397" s="697">
        <v>39792</v>
      </c>
      <c r="E397" s="695">
        <v>12640.83</v>
      </c>
      <c r="F397" s="697">
        <v>40156</v>
      </c>
      <c r="G397" s="695">
        <v>10044.040000000001</v>
      </c>
      <c r="H397" s="683">
        <v>40520</v>
      </c>
      <c r="I397" s="695">
        <v>11178.89</v>
      </c>
      <c r="J397" s="683">
        <v>40884</v>
      </c>
      <c r="K397" s="679">
        <v>12035.4</v>
      </c>
      <c r="L397" s="683">
        <v>41255</v>
      </c>
      <c r="M397" s="679">
        <v>14379.16</v>
      </c>
      <c r="N397" s="683">
        <v>41619</v>
      </c>
      <c r="O397" s="685">
        <v>16926.259999999998</v>
      </c>
      <c r="P397" s="689">
        <f t="shared" si="826"/>
        <v>41983</v>
      </c>
      <c r="Q397" s="685">
        <v>17623.05</v>
      </c>
      <c r="R397" s="679"/>
      <c r="S397" s="719"/>
      <c r="T397" s="679"/>
      <c r="U397" s="719"/>
      <c r="V397" s="679"/>
      <c r="W397" s="719"/>
      <c r="X397" s="679"/>
      <c r="Y397" s="719"/>
      <c r="Z397" s="679"/>
      <c r="AA397" s="719"/>
      <c r="AB397" s="679"/>
      <c r="AC397" s="719"/>
      <c r="AD397" s="864"/>
    </row>
    <row r="398" spans="1:38" hidden="1">
      <c r="A398" s="7">
        <v>12</v>
      </c>
      <c r="B398">
        <v>3</v>
      </c>
      <c r="C398" t="s">
        <v>106</v>
      </c>
      <c r="D398" s="697">
        <v>39793</v>
      </c>
      <c r="E398" s="695">
        <v>15497.24</v>
      </c>
      <c r="F398" s="697">
        <v>40157</v>
      </c>
      <c r="G398" s="695">
        <v>21957.85</v>
      </c>
      <c r="H398" s="683">
        <v>40521</v>
      </c>
      <c r="I398" s="695">
        <v>15809.06</v>
      </c>
      <c r="J398" s="683">
        <v>40885</v>
      </c>
      <c r="K398" s="679">
        <v>16042.01</v>
      </c>
      <c r="L398" s="683">
        <v>41256</v>
      </c>
      <c r="M398" s="679">
        <v>22758.3</v>
      </c>
      <c r="N398" s="683">
        <v>41620</v>
      </c>
      <c r="O398" s="685">
        <v>18393.21</v>
      </c>
      <c r="P398" s="689">
        <f t="shared" si="826"/>
        <v>41984</v>
      </c>
      <c r="Q398" s="685">
        <v>19233.11</v>
      </c>
      <c r="R398" s="679"/>
      <c r="S398" s="719"/>
      <c r="T398" s="679"/>
      <c r="U398" s="719"/>
      <c r="V398" s="679"/>
      <c r="W398" s="719"/>
      <c r="X398" s="679"/>
      <c r="Y398" s="719"/>
      <c r="Z398" s="679"/>
      <c r="AA398" s="719"/>
      <c r="AB398" s="679"/>
      <c r="AC398" s="719"/>
      <c r="AD398" s="864"/>
    </row>
    <row r="399" spans="1:38" hidden="1">
      <c r="A399" s="7">
        <v>12</v>
      </c>
      <c r="B399">
        <v>3</v>
      </c>
      <c r="C399" t="s">
        <v>107</v>
      </c>
      <c r="D399" s="697">
        <v>39794</v>
      </c>
      <c r="E399" s="695">
        <v>21361.18</v>
      </c>
      <c r="F399" s="697">
        <v>40158</v>
      </c>
      <c r="G399" s="695">
        <v>23957.63</v>
      </c>
      <c r="H399" s="683">
        <v>40522</v>
      </c>
      <c r="I399" s="695">
        <v>11627.35</v>
      </c>
      <c r="J399" s="683">
        <v>40886</v>
      </c>
      <c r="K399" s="679">
        <v>19937.11</v>
      </c>
      <c r="L399" s="683">
        <v>41257</v>
      </c>
      <c r="M399" s="679">
        <v>23762.85</v>
      </c>
      <c r="N399" s="683">
        <v>41621</v>
      </c>
      <c r="O399" s="685">
        <v>21078.44</v>
      </c>
      <c r="P399" s="689">
        <f t="shared" si="826"/>
        <v>41985</v>
      </c>
      <c r="Q399" s="685">
        <v>22067.75</v>
      </c>
      <c r="R399" s="679"/>
      <c r="S399" s="719"/>
      <c r="T399" s="679"/>
      <c r="U399" s="719"/>
      <c r="V399" s="679"/>
      <c r="W399" s="719"/>
      <c r="X399" s="679"/>
      <c r="Y399" s="719"/>
      <c r="Z399" s="679"/>
      <c r="AA399" s="719"/>
      <c r="AB399" s="679"/>
      <c r="AC399" s="719"/>
      <c r="AD399" s="864"/>
    </row>
    <row r="400" spans="1:38" hidden="1">
      <c r="A400" s="7">
        <v>12</v>
      </c>
      <c r="B400">
        <v>3</v>
      </c>
      <c r="C400" t="s">
        <v>108</v>
      </c>
      <c r="D400" s="697">
        <v>39795</v>
      </c>
      <c r="E400" s="695">
        <v>18637.21</v>
      </c>
      <c r="F400" s="697">
        <v>40159</v>
      </c>
      <c r="G400" s="695">
        <v>16136.05</v>
      </c>
      <c r="H400" s="683">
        <v>40523</v>
      </c>
      <c r="I400" s="695">
        <v>16584.169999999998</v>
      </c>
      <c r="J400" s="683">
        <v>40887</v>
      </c>
      <c r="K400" s="679">
        <v>16147.55</v>
      </c>
      <c r="L400" s="683">
        <v>41258</v>
      </c>
      <c r="M400" s="679">
        <v>21948.65</v>
      </c>
      <c r="N400" s="683">
        <v>41622</v>
      </c>
      <c r="O400" s="685">
        <v>4836.75</v>
      </c>
      <c r="P400" s="689">
        <f t="shared" si="826"/>
        <v>41986</v>
      </c>
      <c r="Q400" s="685">
        <v>21136.16</v>
      </c>
      <c r="R400" s="679"/>
      <c r="S400" s="719"/>
      <c r="T400" s="679"/>
      <c r="U400" s="719"/>
      <c r="V400" s="679"/>
      <c r="W400" s="719"/>
      <c r="X400" s="679"/>
      <c r="Y400" s="719"/>
      <c r="Z400" s="679"/>
      <c r="AA400" s="719"/>
      <c r="AB400" s="679"/>
      <c r="AC400" s="719"/>
      <c r="AD400" s="864"/>
    </row>
    <row r="401" spans="1:38" ht="15.75" hidden="1" thickBot="1">
      <c r="A401" s="12">
        <v>12</v>
      </c>
      <c r="B401" s="14">
        <v>3</v>
      </c>
      <c r="C401" s="14" t="s">
        <v>109</v>
      </c>
      <c r="D401" s="697">
        <v>39796</v>
      </c>
      <c r="E401" s="695">
        <v>4458.72</v>
      </c>
      <c r="F401" s="699">
        <v>40160</v>
      </c>
      <c r="G401" s="695">
        <v>4863.3999999999996</v>
      </c>
      <c r="H401" s="700">
        <v>40524</v>
      </c>
      <c r="I401" s="695">
        <v>2612.6</v>
      </c>
      <c r="J401" s="700">
        <v>40888</v>
      </c>
      <c r="K401" s="680">
        <v>3523</v>
      </c>
      <c r="L401" s="683">
        <v>41259</v>
      </c>
      <c r="M401" s="680">
        <v>6498.45</v>
      </c>
      <c r="N401" s="683">
        <v>41623</v>
      </c>
      <c r="O401" s="685">
        <v>6836.05</v>
      </c>
      <c r="P401" s="689">
        <f t="shared" si="826"/>
        <v>41987</v>
      </c>
      <c r="Q401" s="685">
        <v>9030.5499999999993</v>
      </c>
      <c r="R401" s="680"/>
      <c r="S401" s="723"/>
      <c r="T401" s="680"/>
      <c r="U401" s="723"/>
      <c r="V401" s="680"/>
      <c r="W401" s="723"/>
      <c r="X401" s="680"/>
      <c r="Y401" s="723"/>
      <c r="Z401" s="680"/>
      <c r="AA401" s="723"/>
      <c r="AB401" s="680"/>
      <c r="AC401" s="723"/>
      <c r="AD401" s="865"/>
      <c r="AE401" s="203">
        <f>SUM(E395:E401)</f>
        <v>88011.92</v>
      </c>
      <c r="AF401" s="203">
        <f>SUM(G395:G401)</f>
        <v>95747.09</v>
      </c>
      <c r="AG401" s="203">
        <f>SUM(I395:I401)</f>
        <v>78287.66</v>
      </c>
      <c r="AH401" s="203">
        <f>SUM(K395:K401)</f>
        <v>84595.16</v>
      </c>
      <c r="AI401" s="203">
        <f>SUM(M395:M401)</f>
        <v>112660.17999999998</v>
      </c>
      <c r="AL401" s="203"/>
    </row>
    <row r="402" spans="1:38" ht="15.75" hidden="1" thickBot="1">
      <c r="A402" s="5">
        <v>12</v>
      </c>
      <c r="B402" s="16">
        <v>4</v>
      </c>
      <c r="C402" s="16" t="s">
        <v>103</v>
      </c>
      <c r="D402" s="699">
        <v>39797</v>
      </c>
      <c r="E402" s="695">
        <v>8899.01</v>
      </c>
      <c r="F402" s="694">
        <v>40161</v>
      </c>
      <c r="G402" s="695">
        <v>9822.44</v>
      </c>
      <c r="H402" s="701">
        <v>40525</v>
      </c>
      <c r="I402" s="695">
        <v>10487.13</v>
      </c>
      <c r="J402" s="701">
        <v>40889</v>
      </c>
      <c r="K402" s="681">
        <v>9127</v>
      </c>
      <c r="L402" s="683">
        <v>41260</v>
      </c>
      <c r="M402" s="681">
        <v>11663.76</v>
      </c>
      <c r="N402" s="683">
        <v>41624</v>
      </c>
      <c r="O402" s="685">
        <v>13751.82</v>
      </c>
      <c r="P402" s="689">
        <f t="shared" si="826"/>
        <v>41988</v>
      </c>
      <c r="Q402" s="685">
        <v>9332.1</v>
      </c>
      <c r="R402" s="681"/>
      <c r="S402" s="717"/>
      <c r="T402" s="681"/>
      <c r="U402" s="717"/>
      <c r="V402" s="681"/>
      <c r="W402" s="717"/>
      <c r="X402" s="681"/>
      <c r="Y402" s="717"/>
      <c r="Z402" s="681"/>
      <c r="AA402" s="717"/>
      <c r="AB402" s="681"/>
      <c r="AC402" s="717"/>
      <c r="AD402" s="863" t="s">
        <v>160</v>
      </c>
    </row>
    <row r="403" spans="1:38" hidden="1">
      <c r="A403" s="7">
        <v>12</v>
      </c>
      <c r="B403">
        <v>4</v>
      </c>
      <c r="C403" t="s">
        <v>104</v>
      </c>
      <c r="D403" s="694">
        <v>39798</v>
      </c>
      <c r="E403" s="695">
        <v>12559.56</v>
      </c>
      <c r="F403" s="697">
        <v>40162</v>
      </c>
      <c r="G403" s="695">
        <v>16623.509999999998</v>
      </c>
      <c r="H403" s="683">
        <v>40526</v>
      </c>
      <c r="I403" s="695">
        <v>12532.45</v>
      </c>
      <c r="J403" s="683">
        <v>40890</v>
      </c>
      <c r="K403" s="679">
        <v>14580.4</v>
      </c>
      <c r="L403" s="683">
        <v>41261</v>
      </c>
      <c r="M403" s="679">
        <v>18611.900000000001</v>
      </c>
      <c r="N403" s="683">
        <v>41625</v>
      </c>
      <c r="O403" s="685">
        <v>4452.75</v>
      </c>
      <c r="P403" s="689">
        <f t="shared" si="826"/>
        <v>41989</v>
      </c>
      <c r="Q403" s="685">
        <v>15191.67</v>
      </c>
      <c r="R403" s="679"/>
      <c r="S403" s="719"/>
      <c r="T403" s="679"/>
      <c r="U403" s="719"/>
      <c r="V403" s="679"/>
      <c r="W403" s="719"/>
      <c r="X403" s="679"/>
      <c r="Y403" s="719"/>
      <c r="Z403" s="679"/>
      <c r="AA403" s="719"/>
      <c r="AB403" s="679"/>
      <c r="AC403" s="719"/>
      <c r="AD403" s="864"/>
    </row>
    <row r="404" spans="1:38" hidden="1">
      <c r="A404" s="7">
        <v>12</v>
      </c>
      <c r="B404">
        <v>4</v>
      </c>
      <c r="C404" t="s">
        <v>105</v>
      </c>
      <c r="D404" s="697">
        <v>39799</v>
      </c>
      <c r="E404" s="695">
        <v>17123.38</v>
      </c>
      <c r="F404" s="697">
        <v>40163</v>
      </c>
      <c r="G404" s="695">
        <v>18237.79</v>
      </c>
      <c r="H404" s="683">
        <v>40527</v>
      </c>
      <c r="I404" s="695">
        <v>14231.2</v>
      </c>
      <c r="J404" s="683">
        <v>40891</v>
      </c>
      <c r="K404" s="679">
        <v>18605.7</v>
      </c>
      <c r="L404" s="683">
        <v>41262</v>
      </c>
      <c r="M404" s="679">
        <v>22148.9</v>
      </c>
      <c r="N404" s="683">
        <v>41626</v>
      </c>
      <c r="O404" s="685">
        <v>18606.099999999999</v>
      </c>
      <c r="P404" s="689">
        <f t="shared" si="826"/>
        <v>41990</v>
      </c>
      <c r="Q404" s="685">
        <v>19867.3</v>
      </c>
      <c r="R404" s="679"/>
      <c r="S404" s="719"/>
      <c r="T404" s="679"/>
      <c r="U404" s="719"/>
      <c r="V404" s="679"/>
      <c r="W404" s="719"/>
      <c r="X404" s="679"/>
      <c r="Y404" s="719"/>
      <c r="Z404" s="679"/>
      <c r="AA404" s="719"/>
      <c r="AB404" s="679"/>
      <c r="AC404" s="719"/>
      <c r="AD404" s="864"/>
    </row>
    <row r="405" spans="1:38" hidden="1">
      <c r="A405" s="7">
        <v>12</v>
      </c>
      <c r="B405">
        <v>4</v>
      </c>
      <c r="C405" t="s">
        <v>106</v>
      </c>
      <c r="D405" s="697">
        <v>39800</v>
      </c>
      <c r="E405" s="695">
        <v>19704.740000000002</v>
      </c>
      <c r="F405" s="697">
        <v>40164</v>
      </c>
      <c r="G405" s="695">
        <v>22315.46</v>
      </c>
      <c r="H405" s="683">
        <v>40528</v>
      </c>
      <c r="I405" s="695">
        <v>20089.5</v>
      </c>
      <c r="J405" s="683">
        <v>40892</v>
      </c>
      <c r="K405" s="679">
        <v>14799.47</v>
      </c>
      <c r="L405" s="683">
        <v>41263</v>
      </c>
      <c r="M405" s="679">
        <v>18960.71</v>
      </c>
      <c r="N405" s="683">
        <v>41627</v>
      </c>
      <c r="O405" s="685">
        <v>26396.51</v>
      </c>
      <c r="P405" s="689">
        <f t="shared" si="826"/>
        <v>41991</v>
      </c>
      <c r="Q405" s="685">
        <v>21358.799999999999</v>
      </c>
      <c r="R405" s="679"/>
      <c r="S405" s="719"/>
      <c r="T405" s="679"/>
      <c r="U405" s="719"/>
      <c r="V405" s="679"/>
      <c r="W405" s="719"/>
      <c r="X405" s="679"/>
      <c r="Y405" s="719"/>
      <c r="Z405" s="679"/>
      <c r="AA405" s="719"/>
      <c r="AB405" s="679"/>
      <c r="AC405" s="719"/>
      <c r="AD405" s="864"/>
    </row>
    <row r="406" spans="1:38" hidden="1">
      <c r="A406" s="7">
        <v>12</v>
      </c>
      <c r="B406">
        <v>4</v>
      </c>
      <c r="C406" t="s">
        <v>107</v>
      </c>
      <c r="D406" s="697">
        <v>39801</v>
      </c>
      <c r="E406" s="695">
        <v>5261.79</v>
      </c>
      <c r="F406" s="697">
        <v>40165</v>
      </c>
      <c r="G406" s="695">
        <v>19649.28</v>
      </c>
      <c r="H406" s="683">
        <v>40529</v>
      </c>
      <c r="I406" s="695">
        <v>21904.63</v>
      </c>
      <c r="J406" s="683">
        <v>40893</v>
      </c>
      <c r="K406" s="679">
        <v>23051.81</v>
      </c>
      <c r="L406" s="683">
        <v>41264</v>
      </c>
      <c r="M406" s="679">
        <v>22963.15</v>
      </c>
      <c r="N406" s="683">
        <v>41628</v>
      </c>
      <c r="O406" s="685">
        <v>24427.61</v>
      </c>
      <c r="P406" s="689">
        <f t="shared" si="826"/>
        <v>41992</v>
      </c>
      <c r="Q406" s="685">
        <v>26098.17</v>
      </c>
      <c r="R406" s="679"/>
      <c r="S406" s="719"/>
      <c r="T406" s="679"/>
      <c r="U406" s="719"/>
      <c r="V406" s="679"/>
      <c r="W406" s="719"/>
      <c r="X406" s="679"/>
      <c r="Y406" s="719"/>
      <c r="Z406" s="679"/>
      <c r="AA406" s="719"/>
      <c r="AB406" s="679"/>
      <c r="AC406" s="719"/>
      <c r="AD406" s="864"/>
    </row>
    <row r="407" spans="1:38" hidden="1">
      <c r="A407" s="7">
        <v>12</v>
      </c>
      <c r="B407">
        <v>4</v>
      </c>
      <c r="C407" t="s">
        <v>108</v>
      </c>
      <c r="D407" s="697">
        <v>39802</v>
      </c>
      <c r="E407" s="695">
        <v>17684.23</v>
      </c>
      <c r="F407" s="697">
        <v>40166</v>
      </c>
      <c r="G407" s="695">
        <v>13105.89</v>
      </c>
      <c r="H407" s="683">
        <v>40530</v>
      </c>
      <c r="I407" s="695">
        <v>15971.01</v>
      </c>
      <c r="J407" s="683">
        <v>40894</v>
      </c>
      <c r="K407" s="679">
        <v>17593.900000000001</v>
      </c>
      <c r="L407" s="683">
        <v>41265</v>
      </c>
      <c r="M407" s="679">
        <v>14872.6</v>
      </c>
      <c r="N407" s="683">
        <v>41629</v>
      </c>
      <c r="O407" s="685">
        <v>21375.4</v>
      </c>
      <c r="P407" s="689">
        <f t="shared" si="826"/>
        <v>41993</v>
      </c>
      <c r="Q407" s="685">
        <v>20080.150000000001</v>
      </c>
      <c r="R407" s="679"/>
      <c r="S407" s="719"/>
      <c r="T407" s="679"/>
      <c r="U407" s="719"/>
      <c r="V407" s="679"/>
      <c r="W407" s="719"/>
      <c r="X407" s="679"/>
      <c r="Y407" s="719"/>
      <c r="Z407" s="679"/>
      <c r="AA407" s="719"/>
      <c r="AB407" s="679"/>
      <c r="AC407" s="719"/>
      <c r="AD407" s="864"/>
    </row>
    <row r="408" spans="1:38" ht="15.75" hidden="1" thickBot="1">
      <c r="A408" s="7">
        <v>12</v>
      </c>
      <c r="B408">
        <v>4</v>
      </c>
      <c r="C408" t="s">
        <v>109</v>
      </c>
      <c r="D408" s="697">
        <v>39803</v>
      </c>
      <c r="E408" s="695">
        <v>2169.65</v>
      </c>
      <c r="F408" s="699">
        <v>40167</v>
      </c>
      <c r="G408" s="695">
        <v>4388.96</v>
      </c>
      <c r="H408" s="700">
        <v>40531</v>
      </c>
      <c r="I408" s="695">
        <v>2643.92</v>
      </c>
      <c r="J408" s="700">
        <v>40895</v>
      </c>
      <c r="K408" s="680">
        <v>10440.870000000001</v>
      </c>
      <c r="L408" s="683">
        <v>41266</v>
      </c>
      <c r="M408" s="680">
        <v>12395.36</v>
      </c>
      <c r="N408" s="683">
        <v>41630</v>
      </c>
      <c r="O408" s="685">
        <v>15518.5</v>
      </c>
      <c r="P408" s="689">
        <f t="shared" si="826"/>
        <v>41994</v>
      </c>
      <c r="Q408" s="685">
        <v>10797.71</v>
      </c>
      <c r="R408" s="680"/>
      <c r="S408" s="720"/>
      <c r="T408" s="680"/>
      <c r="U408" s="720"/>
      <c r="V408" s="680"/>
      <c r="W408" s="720"/>
      <c r="X408" s="680"/>
      <c r="Y408" s="720"/>
      <c r="Z408" s="680"/>
      <c r="AA408" s="720"/>
      <c r="AB408" s="680"/>
      <c r="AC408" s="720"/>
      <c r="AD408" s="866"/>
      <c r="AE408" s="203">
        <f>SUM(E402:E408)</f>
        <v>83402.36</v>
      </c>
      <c r="AF408" s="203">
        <f>SUM(G402:G408)</f>
        <v>104143.33</v>
      </c>
      <c r="AG408" s="203">
        <f>SUM(I402:I408)</f>
        <v>97859.839999999997</v>
      </c>
      <c r="AH408" s="203">
        <f>SUM(K402:K408)</f>
        <v>108199.15</v>
      </c>
      <c r="AI408" s="203">
        <f>SUM(M402:M408)</f>
        <v>121616.38000000002</v>
      </c>
      <c r="AL408" s="203"/>
    </row>
    <row r="409" spans="1:38" ht="15.75" hidden="1" thickBot="1">
      <c r="A409" s="5">
        <v>12</v>
      </c>
      <c r="B409" s="16">
        <v>5</v>
      </c>
      <c r="C409" s="16" t="s">
        <v>103</v>
      </c>
      <c r="D409" s="699">
        <v>39804</v>
      </c>
      <c r="E409" s="695">
        <v>13844.64</v>
      </c>
      <c r="F409" s="694">
        <v>40168</v>
      </c>
      <c r="G409" s="695">
        <v>12958.84</v>
      </c>
      <c r="H409" s="701">
        <v>40532</v>
      </c>
      <c r="I409" s="695">
        <v>8568.7900000000009</v>
      </c>
      <c r="J409" s="701">
        <v>40896</v>
      </c>
      <c r="K409" s="681">
        <v>12289.25</v>
      </c>
      <c r="L409" s="683">
        <v>41267</v>
      </c>
      <c r="M409" s="681">
        <v>23230.720000000001</v>
      </c>
      <c r="N409" s="683">
        <v>41631</v>
      </c>
      <c r="O409" s="685">
        <v>17668.05</v>
      </c>
      <c r="P409" s="689">
        <f t="shared" si="826"/>
        <v>41995</v>
      </c>
      <c r="Q409" s="685">
        <v>13903.12</v>
      </c>
      <c r="R409" s="681"/>
      <c r="S409" s="717"/>
      <c r="T409" s="681"/>
      <c r="U409" s="717"/>
      <c r="V409" s="681"/>
      <c r="W409" s="717"/>
      <c r="X409" s="681"/>
      <c r="Y409" s="717"/>
      <c r="Z409" s="681"/>
      <c r="AA409" s="717"/>
      <c r="AB409" s="681"/>
      <c r="AC409" s="717"/>
      <c r="AD409" s="863" t="s">
        <v>161</v>
      </c>
    </row>
    <row r="410" spans="1:38" hidden="1">
      <c r="A410" s="7">
        <v>12</v>
      </c>
      <c r="B410">
        <v>5</v>
      </c>
      <c r="C410" t="s">
        <v>104</v>
      </c>
      <c r="D410" s="694">
        <v>39805</v>
      </c>
      <c r="E410" s="695">
        <v>15569.73</v>
      </c>
      <c r="F410" s="697">
        <v>40169</v>
      </c>
      <c r="G410" s="695">
        <v>18934.060000000001</v>
      </c>
      <c r="H410" s="683">
        <v>40533</v>
      </c>
      <c r="I410" s="695">
        <v>17181.939999999999</v>
      </c>
      <c r="J410" s="683">
        <v>40897</v>
      </c>
      <c r="K410" s="679">
        <v>14922.3</v>
      </c>
      <c r="L410" s="683">
        <v>41268</v>
      </c>
      <c r="M410" s="679">
        <v>0</v>
      </c>
      <c r="N410" s="683">
        <v>41632</v>
      </c>
      <c r="O410" s="685">
        <v>21760.35</v>
      </c>
      <c r="P410" s="689">
        <f t="shared" si="826"/>
        <v>41996</v>
      </c>
      <c r="Q410" s="685">
        <v>19305.599999999999</v>
      </c>
      <c r="R410" s="679"/>
      <c r="S410" s="719"/>
      <c r="T410" s="679"/>
      <c r="U410" s="719"/>
      <c r="V410" s="679"/>
      <c r="W410" s="719"/>
      <c r="X410" s="679"/>
      <c r="Y410" s="719"/>
      <c r="Z410" s="679"/>
      <c r="AA410" s="719"/>
      <c r="AB410" s="679"/>
      <c r="AC410" s="719"/>
      <c r="AD410" s="864"/>
    </row>
    <row r="411" spans="1:38" hidden="1">
      <c r="A411" s="7">
        <v>12</v>
      </c>
      <c r="B411">
        <v>5</v>
      </c>
      <c r="C411" t="s">
        <v>105</v>
      </c>
      <c r="D411" s="697">
        <v>39806</v>
      </c>
      <c r="E411" s="695">
        <v>2082.65</v>
      </c>
      <c r="F411" s="697">
        <v>40170</v>
      </c>
      <c r="G411" s="695">
        <v>18166.21</v>
      </c>
      <c r="H411" s="683">
        <v>40534</v>
      </c>
      <c r="I411" s="695">
        <v>14798.82</v>
      </c>
      <c r="J411" s="683">
        <v>40898</v>
      </c>
      <c r="K411" s="679">
        <v>13923.16</v>
      </c>
      <c r="L411" s="683">
        <v>41269</v>
      </c>
      <c r="M411" s="679">
        <v>6914.81</v>
      </c>
      <c r="N411" s="683">
        <v>41633</v>
      </c>
      <c r="O411" s="685">
        <v>0</v>
      </c>
      <c r="P411" s="689">
        <f t="shared" si="826"/>
        <v>41997</v>
      </c>
      <c r="Q411" s="685">
        <v>23462.15</v>
      </c>
      <c r="R411" s="679"/>
      <c r="S411" s="719"/>
      <c r="T411" s="679"/>
      <c r="U411" s="719"/>
      <c r="V411" s="679"/>
      <c r="W411" s="719"/>
      <c r="X411" s="679"/>
      <c r="Y411" s="719"/>
      <c r="Z411" s="679"/>
      <c r="AA411" s="719"/>
      <c r="AB411" s="679"/>
      <c r="AC411" s="719"/>
      <c r="AD411" s="864"/>
    </row>
    <row r="412" spans="1:38" hidden="1">
      <c r="A412" s="7">
        <v>12</v>
      </c>
      <c r="B412">
        <v>5</v>
      </c>
      <c r="C412" t="s">
        <v>106</v>
      </c>
      <c r="D412" s="697">
        <v>39807</v>
      </c>
      <c r="E412" s="710">
        <v>0</v>
      </c>
      <c r="F412" s="697">
        <v>40171</v>
      </c>
      <c r="G412" s="695">
        <v>3602.45</v>
      </c>
      <c r="H412" s="683">
        <v>40535</v>
      </c>
      <c r="I412" s="156">
        <v>20143.419999999998</v>
      </c>
      <c r="J412" s="683">
        <v>40899</v>
      </c>
      <c r="K412" s="679">
        <v>20486.46</v>
      </c>
      <c r="L412" s="683">
        <v>41270</v>
      </c>
      <c r="M412" s="679">
        <v>11850.96</v>
      </c>
      <c r="N412" s="683">
        <v>41634</v>
      </c>
      <c r="O412" s="685">
        <v>12278.8</v>
      </c>
      <c r="P412" s="689">
        <f t="shared" si="826"/>
        <v>41998</v>
      </c>
      <c r="Q412" s="685">
        <v>0</v>
      </c>
      <c r="R412" s="679"/>
      <c r="S412" s="719"/>
      <c r="T412" s="679"/>
      <c r="U412" s="719"/>
      <c r="V412" s="679"/>
      <c r="W412" s="719"/>
      <c r="X412" s="679"/>
      <c r="Y412" s="719"/>
      <c r="Z412" s="679"/>
      <c r="AA412" s="719"/>
      <c r="AB412" s="679"/>
      <c r="AC412" s="719"/>
      <c r="AD412" s="864"/>
    </row>
    <row r="413" spans="1:38" hidden="1">
      <c r="A413" s="7">
        <v>12</v>
      </c>
      <c r="B413">
        <v>5</v>
      </c>
      <c r="C413" t="s">
        <v>107</v>
      </c>
      <c r="D413" s="697">
        <v>39808</v>
      </c>
      <c r="E413" s="695">
        <v>14608.83</v>
      </c>
      <c r="F413" s="697">
        <v>40172</v>
      </c>
      <c r="G413" s="710">
        <v>0</v>
      </c>
      <c r="H413" s="683">
        <v>40536</v>
      </c>
      <c r="I413" s="156">
        <v>6592.15</v>
      </c>
      <c r="J413" s="683">
        <v>40900</v>
      </c>
      <c r="K413" s="679">
        <v>19977.11</v>
      </c>
      <c r="L413" s="683">
        <v>41271</v>
      </c>
      <c r="M413" s="679">
        <v>17826.32</v>
      </c>
      <c r="N413" s="683">
        <v>41635</v>
      </c>
      <c r="O413" s="685">
        <v>21670.74</v>
      </c>
      <c r="P413" s="689">
        <f t="shared" si="826"/>
        <v>41999</v>
      </c>
      <c r="Q413" s="685">
        <v>21093.77</v>
      </c>
      <c r="R413" s="679"/>
      <c r="S413" s="719"/>
      <c r="T413" s="679"/>
      <c r="U413" s="719"/>
      <c r="V413" s="679"/>
      <c r="W413" s="719"/>
      <c r="X413" s="679"/>
      <c r="Y413" s="719"/>
      <c r="Z413" s="679"/>
      <c r="AA413" s="719"/>
      <c r="AB413" s="679"/>
      <c r="AC413" s="719"/>
      <c r="AD413" s="864"/>
    </row>
    <row r="414" spans="1:38" hidden="1">
      <c r="A414" s="7">
        <v>12</v>
      </c>
      <c r="B414">
        <v>5</v>
      </c>
      <c r="C414" t="s">
        <v>108</v>
      </c>
      <c r="D414" s="697">
        <v>39809</v>
      </c>
      <c r="E414" s="695">
        <v>17570.29</v>
      </c>
      <c r="F414" s="697">
        <v>40173</v>
      </c>
      <c r="G414" s="695">
        <v>14925.97</v>
      </c>
      <c r="H414" s="683">
        <v>40537</v>
      </c>
      <c r="I414" s="156">
        <v>0</v>
      </c>
      <c r="J414" s="683">
        <v>40901</v>
      </c>
      <c r="K414" s="679">
        <v>20339.89</v>
      </c>
      <c r="L414" s="683">
        <v>41272</v>
      </c>
      <c r="M414" s="679">
        <v>6145.8</v>
      </c>
      <c r="N414" s="683">
        <v>41636</v>
      </c>
      <c r="O414" s="685">
        <v>21192.76</v>
      </c>
      <c r="P414" s="689">
        <f t="shared" si="826"/>
        <v>42000</v>
      </c>
      <c r="Q414" s="685">
        <v>23481.18</v>
      </c>
      <c r="R414" s="679"/>
      <c r="S414" s="719"/>
      <c r="T414" s="679"/>
      <c r="U414" s="719"/>
      <c r="V414" s="679"/>
      <c r="W414" s="719"/>
      <c r="X414" s="679"/>
      <c r="Y414" s="719"/>
      <c r="Z414" s="679"/>
      <c r="AA414" s="719"/>
      <c r="AB414" s="679"/>
      <c r="AC414" s="719"/>
      <c r="AD414" s="864"/>
    </row>
    <row r="415" spans="1:38" hidden="1">
      <c r="A415" s="7">
        <v>12</v>
      </c>
      <c r="B415">
        <v>5</v>
      </c>
      <c r="C415" t="s">
        <v>109</v>
      </c>
      <c r="D415" s="697">
        <v>39810</v>
      </c>
      <c r="E415" s="695">
        <v>7427.63</v>
      </c>
      <c r="F415" s="697">
        <v>40174</v>
      </c>
      <c r="G415" s="695">
        <v>10277.129999999999</v>
      </c>
      <c r="H415" s="683">
        <v>40538</v>
      </c>
      <c r="I415" s="156">
        <v>276.60000000000002</v>
      </c>
      <c r="J415" s="683">
        <v>40902</v>
      </c>
      <c r="K415" s="679">
        <v>0</v>
      </c>
      <c r="L415" s="683">
        <v>41273</v>
      </c>
      <c r="M415" s="679">
        <v>8410.36</v>
      </c>
      <c r="N415" s="683">
        <v>41637</v>
      </c>
      <c r="O415" s="685">
        <v>10628.81</v>
      </c>
      <c r="P415" s="689">
        <f t="shared" si="826"/>
        <v>42001</v>
      </c>
      <c r="Q415" s="685">
        <v>13627.6</v>
      </c>
      <c r="R415" s="679"/>
      <c r="S415" s="719"/>
      <c r="T415" s="679"/>
      <c r="U415" s="719"/>
      <c r="V415" s="679"/>
      <c r="W415" s="719"/>
      <c r="X415" s="679"/>
      <c r="Y415" s="719"/>
      <c r="Z415" s="679"/>
      <c r="AA415" s="719"/>
      <c r="AB415" s="679"/>
      <c r="AC415" s="719"/>
      <c r="AD415" s="864"/>
      <c r="AE415" s="203">
        <f>SUM(E409:E415)</f>
        <v>71103.77</v>
      </c>
      <c r="AF415" s="203">
        <f>SUM(G409:G415)</f>
        <v>78864.66</v>
      </c>
      <c r="AG415" s="203">
        <f>SUM(I409:I415)</f>
        <v>67561.72</v>
      </c>
      <c r="AH415" s="203">
        <f>SUM(K409:K415)</f>
        <v>101938.17</v>
      </c>
      <c r="AI415" s="203">
        <f>SUM(M409:M415)</f>
        <v>74378.97</v>
      </c>
      <c r="AL415" s="203"/>
    </row>
    <row r="416" spans="1:38" hidden="1">
      <c r="A416" s="7">
        <v>12</v>
      </c>
      <c r="B416">
        <v>5</v>
      </c>
      <c r="C416" t="s">
        <v>103</v>
      </c>
      <c r="D416" s="697">
        <v>39811</v>
      </c>
      <c r="E416" s="695">
        <v>9566.58</v>
      </c>
      <c r="F416" s="697">
        <v>40175</v>
      </c>
      <c r="G416" s="695">
        <v>9336.7000000000007</v>
      </c>
      <c r="H416" s="683">
        <v>40539</v>
      </c>
      <c r="I416" s="156">
        <v>5020.87</v>
      </c>
      <c r="J416" s="683">
        <v>40903</v>
      </c>
      <c r="K416" s="679">
        <v>7934.5</v>
      </c>
      <c r="L416" s="683">
        <v>41274</v>
      </c>
      <c r="M416" s="679">
        <v>28148.85</v>
      </c>
      <c r="N416" s="683">
        <v>41638</v>
      </c>
      <c r="O416" s="685">
        <v>13792.47</v>
      </c>
      <c r="P416" s="689">
        <f t="shared" si="826"/>
        <v>42002</v>
      </c>
      <c r="Q416" s="685">
        <v>13569.56</v>
      </c>
      <c r="R416" s="679"/>
      <c r="S416" s="719"/>
      <c r="T416" s="679"/>
      <c r="U416" s="719"/>
      <c r="V416" s="679"/>
      <c r="W416" s="719"/>
      <c r="X416" s="679"/>
      <c r="Y416" s="719"/>
      <c r="Z416" s="679"/>
      <c r="AA416" s="719"/>
      <c r="AB416" s="679"/>
      <c r="AC416" s="719"/>
      <c r="AD416" s="864"/>
    </row>
    <row r="417" spans="1:35" hidden="1">
      <c r="A417" s="7">
        <v>12</v>
      </c>
      <c r="B417">
        <v>5</v>
      </c>
      <c r="C417" t="s">
        <v>104</v>
      </c>
      <c r="D417" s="697">
        <v>39812</v>
      </c>
      <c r="E417" s="695">
        <v>12186.11</v>
      </c>
      <c r="F417" s="697">
        <v>40176</v>
      </c>
      <c r="G417" s="695">
        <v>12434.74</v>
      </c>
      <c r="H417" s="683">
        <v>40540</v>
      </c>
      <c r="I417" s="156">
        <v>10696.48</v>
      </c>
      <c r="J417" s="683">
        <v>40904</v>
      </c>
      <c r="K417" s="679">
        <v>11739.4</v>
      </c>
      <c r="L417" s="683"/>
      <c r="M417" s="679"/>
      <c r="N417" s="683">
        <v>41639</v>
      </c>
      <c r="O417" s="685">
        <v>28578.03</v>
      </c>
      <c r="P417" s="689">
        <f t="shared" si="826"/>
        <v>42003</v>
      </c>
      <c r="Q417" s="685">
        <v>14237.91</v>
      </c>
      <c r="R417" s="679"/>
      <c r="S417" s="719"/>
      <c r="T417" s="679"/>
      <c r="U417" s="719"/>
      <c r="V417" s="679"/>
      <c r="W417" s="719"/>
      <c r="X417" s="679"/>
      <c r="Y417" s="719"/>
      <c r="Z417" s="679"/>
      <c r="AA417" s="719"/>
      <c r="AB417" s="679"/>
      <c r="AC417" s="719"/>
      <c r="AD417" s="864"/>
    </row>
    <row r="418" spans="1:35" hidden="1">
      <c r="A418" s="7">
        <v>12</v>
      </c>
      <c r="B418">
        <v>5</v>
      </c>
      <c r="C418" t="s">
        <v>105</v>
      </c>
      <c r="D418" s="697">
        <v>39813</v>
      </c>
      <c r="E418" s="695">
        <v>20568.580000000002</v>
      </c>
      <c r="F418" s="697">
        <v>40177</v>
      </c>
      <c r="G418" s="695">
        <v>15705.04</v>
      </c>
      <c r="H418" s="683">
        <v>40541</v>
      </c>
      <c r="I418" s="156">
        <v>12470.57</v>
      </c>
      <c r="J418" s="683">
        <v>40905</v>
      </c>
      <c r="K418" s="679">
        <v>11302.26</v>
      </c>
      <c r="L418" s="683"/>
      <c r="M418" s="679"/>
      <c r="N418" s="684"/>
      <c r="O418" s="679"/>
      <c r="P418" s="689">
        <f t="shared" si="826"/>
        <v>42004</v>
      </c>
      <c r="Q418" s="685">
        <v>29289.02</v>
      </c>
      <c r="R418" s="679"/>
      <c r="S418" s="719"/>
      <c r="T418" s="679"/>
      <c r="U418" s="719"/>
      <c r="V418" s="679"/>
      <c r="W418" s="719"/>
      <c r="X418" s="679"/>
      <c r="Y418" s="719"/>
      <c r="Z418" s="679"/>
      <c r="AA418" s="719"/>
      <c r="AB418" s="679"/>
      <c r="AC418" s="719"/>
      <c r="AD418" s="864"/>
    </row>
    <row r="419" spans="1:35" hidden="1">
      <c r="A419" s="7">
        <v>12</v>
      </c>
      <c r="B419">
        <v>5</v>
      </c>
      <c r="C419" t="s">
        <v>106</v>
      </c>
      <c r="D419" s="698"/>
      <c r="E419" s="156"/>
      <c r="F419" s="697">
        <v>40178</v>
      </c>
      <c r="G419" s="695">
        <v>23100.04</v>
      </c>
      <c r="H419" s="683">
        <v>40542</v>
      </c>
      <c r="I419" s="156">
        <v>18519.14</v>
      </c>
      <c r="J419" s="683">
        <v>40906</v>
      </c>
      <c r="K419" s="679">
        <v>14232.29</v>
      </c>
      <c r="L419" s="683"/>
      <c r="M419" s="679"/>
      <c r="N419" s="684"/>
      <c r="O419" s="679"/>
      <c r="P419" s="689"/>
      <c r="Q419" s="685"/>
      <c r="R419" s="679"/>
      <c r="S419" s="719"/>
      <c r="T419" s="679"/>
      <c r="U419" s="719"/>
      <c r="V419" s="679"/>
      <c r="W419" s="719"/>
      <c r="X419" s="679"/>
      <c r="Y419" s="719"/>
      <c r="Z419" s="679"/>
      <c r="AA419" s="719"/>
      <c r="AB419" s="679"/>
      <c r="AC419" s="719"/>
      <c r="AD419" s="864"/>
    </row>
    <row r="420" spans="1:35" hidden="1">
      <c r="A420" s="7">
        <v>12</v>
      </c>
      <c r="B420">
        <v>5</v>
      </c>
      <c r="C420" t="s">
        <v>107</v>
      </c>
      <c r="D420" s="7"/>
      <c r="E420" s="8"/>
      <c r="F420" s="7"/>
      <c r="G420" s="8"/>
      <c r="H420" s="683">
        <v>40543</v>
      </c>
      <c r="I420" s="156">
        <v>26669.87</v>
      </c>
      <c r="J420" s="683">
        <v>40907</v>
      </c>
      <c r="K420" s="679">
        <v>19568.53</v>
      </c>
      <c r="L420" s="683"/>
      <c r="M420" s="679"/>
      <c r="N420" s="684"/>
      <c r="O420" s="679"/>
      <c r="P420" s="689"/>
      <c r="Q420" s="685"/>
      <c r="R420" s="679"/>
      <c r="S420" s="719"/>
      <c r="T420" s="679"/>
      <c r="U420" s="719"/>
      <c r="V420" s="679"/>
      <c r="W420" s="719"/>
      <c r="X420" s="679"/>
      <c r="Y420" s="719"/>
      <c r="Z420" s="679"/>
      <c r="AA420" s="719"/>
      <c r="AB420" s="679"/>
      <c r="AC420" s="719"/>
      <c r="AD420" s="864"/>
    </row>
    <row r="421" spans="1:35" ht="15.75" hidden="1" thickBot="1">
      <c r="A421" s="12">
        <v>12</v>
      </c>
      <c r="B421" s="14">
        <v>5</v>
      </c>
      <c r="C421" s="14" t="s">
        <v>108</v>
      </c>
      <c r="D421" s="12"/>
      <c r="E421" s="15"/>
      <c r="F421" s="12"/>
      <c r="G421" s="15"/>
      <c r="H421" s="712"/>
      <c r="I421" s="15"/>
      <c r="J421" s="700">
        <v>40908</v>
      </c>
      <c r="K421" s="680">
        <v>24868.880000000001</v>
      </c>
      <c r="L421" s="700"/>
      <c r="M421" s="680"/>
      <c r="N421" s="687"/>
      <c r="O421" s="680"/>
      <c r="P421" s="714"/>
      <c r="Q421" s="715"/>
      <c r="R421" s="680"/>
      <c r="S421" s="723"/>
      <c r="T421" s="680"/>
      <c r="U421" s="723"/>
      <c r="V421" s="680"/>
      <c r="W421" s="723"/>
      <c r="X421" s="680"/>
      <c r="Y421" s="723"/>
      <c r="Z421" s="680"/>
      <c r="AA421" s="723"/>
      <c r="AB421" s="680"/>
      <c r="AC421" s="723"/>
      <c r="AD421" s="865"/>
    </row>
    <row r="422" spans="1:35">
      <c r="H422" s="204"/>
      <c r="J422" s="204"/>
      <c r="L422" s="204"/>
      <c r="AD422" s="770"/>
    </row>
    <row r="423" spans="1:35">
      <c r="H423" s="204"/>
      <c r="J423" s="204"/>
      <c r="L423" s="204"/>
      <c r="AD423" s="770"/>
    </row>
    <row r="424" spans="1:35">
      <c r="H424" s="204"/>
      <c r="AD424" s="771"/>
      <c r="AE424" s="203">
        <f>SUM(E416:E424)</f>
        <v>42321.270000000004</v>
      </c>
      <c r="AF424" s="203">
        <f>SUM(G416:G424)</f>
        <v>60576.520000000004</v>
      </c>
      <c r="AG424" s="203">
        <f>SUM(I416:I424)</f>
        <v>73376.929999999993</v>
      </c>
      <c r="AH424" s="203">
        <f>SUM(K416:K424)</f>
        <v>89645.86</v>
      </c>
      <c r="AI424" s="203">
        <f>SUM(M418:M424)</f>
        <v>0</v>
      </c>
    </row>
  </sheetData>
  <mergeCells count="67">
    <mergeCell ref="Y1:Z1"/>
    <mergeCell ref="Z2:AA2"/>
    <mergeCell ref="AJ2:AM2"/>
    <mergeCell ref="AD380:AD386"/>
    <mergeCell ref="AD212:AD218"/>
    <mergeCell ref="AD220:AD226"/>
    <mergeCell ref="AD228:AD234"/>
    <mergeCell ref="AD236:AD242"/>
    <mergeCell ref="AD244:AD250"/>
    <mergeCell ref="AD252:AD258"/>
    <mergeCell ref="AD260:AD266"/>
    <mergeCell ref="AD268:AD274"/>
    <mergeCell ref="AD172:AD178"/>
    <mergeCell ref="AD84:AD90"/>
    <mergeCell ref="AD36:AD42"/>
    <mergeCell ref="AD276:AD282"/>
    <mergeCell ref="AD188:AD194"/>
    <mergeCell ref="AD196:AD202"/>
    <mergeCell ref="AD204:AD210"/>
    <mergeCell ref="AB2:AC2"/>
    <mergeCell ref="AD180:AD186"/>
    <mergeCell ref="AD92:AD98"/>
    <mergeCell ref="AD100:AD106"/>
    <mergeCell ref="AD108:AD114"/>
    <mergeCell ref="AD116:AD122"/>
    <mergeCell ref="AD124:AD130"/>
    <mergeCell ref="AD132:AD138"/>
    <mergeCell ref="AD140:AD146"/>
    <mergeCell ref="AD148:AD154"/>
    <mergeCell ref="AD156:AD162"/>
    <mergeCell ref="AD164:AD170"/>
    <mergeCell ref="AD4:AD10"/>
    <mergeCell ref="AD409:AD421"/>
    <mergeCell ref="AD372:AD378"/>
    <mergeCell ref="AD284:AD290"/>
    <mergeCell ref="AD292:AD298"/>
    <mergeCell ref="AD300:AD306"/>
    <mergeCell ref="AD308:AD314"/>
    <mergeCell ref="AD316:AD322"/>
    <mergeCell ref="AD324:AD330"/>
    <mergeCell ref="AD332:AD338"/>
    <mergeCell ref="AD340:AD346"/>
    <mergeCell ref="AD348:AD354"/>
    <mergeCell ref="AD356:AD362"/>
    <mergeCell ref="AD364:AD370"/>
    <mergeCell ref="AD402:AD408"/>
    <mergeCell ref="AD395:AD401"/>
    <mergeCell ref="AD388:AD394"/>
    <mergeCell ref="AD12:AD18"/>
    <mergeCell ref="AD20:AD26"/>
    <mergeCell ref="AD28:AD34"/>
    <mergeCell ref="N2:O2"/>
    <mergeCell ref="P2:Q2"/>
    <mergeCell ref="R2:S2"/>
    <mergeCell ref="V2:W2"/>
    <mergeCell ref="T2:U2"/>
    <mergeCell ref="AD44:AD50"/>
    <mergeCell ref="AD52:AD58"/>
    <mergeCell ref="AD60:AD66"/>
    <mergeCell ref="AD68:AD74"/>
    <mergeCell ref="AD76:AD82"/>
    <mergeCell ref="D2:E2"/>
    <mergeCell ref="F2:G2"/>
    <mergeCell ref="H2:I2"/>
    <mergeCell ref="J2:K2"/>
    <mergeCell ref="X2:Y2"/>
    <mergeCell ref="L2:M2"/>
  </mergeCells>
  <phoneticPr fontId="26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R150"/>
  <sheetViews>
    <sheetView topLeftCell="A10" zoomScale="80" zoomScaleNormal="80" workbookViewId="0">
      <selection activeCell="Q23" sqref="Q23"/>
    </sheetView>
  </sheetViews>
  <sheetFormatPr defaultColWidth="12.5703125" defaultRowHeight="12.75"/>
  <cols>
    <col min="1" max="1" width="1.7109375" style="38" customWidth="1"/>
    <col min="2" max="3" width="12.5703125" style="38"/>
    <col min="4" max="4" width="10.7109375" style="37" customWidth="1"/>
    <col min="5" max="5" width="14.7109375" style="37" customWidth="1"/>
    <col min="6" max="6" width="12.28515625" style="38" customWidth="1"/>
    <col min="7" max="7" width="11.140625" style="38" customWidth="1"/>
    <col min="8" max="8" width="10.7109375" style="38" customWidth="1"/>
    <col min="9" max="9" width="12.28515625" style="38" customWidth="1"/>
    <col min="10" max="10" width="11.140625" style="38" customWidth="1"/>
    <col min="11" max="11" width="10.7109375" style="38" customWidth="1"/>
    <col min="12" max="12" width="11.28515625" style="38" customWidth="1"/>
    <col min="13" max="13" width="10.7109375" style="38" customWidth="1"/>
    <col min="14" max="14" width="11.28515625" style="38" customWidth="1"/>
    <col min="15" max="15" width="12" style="38" customWidth="1"/>
    <col min="16" max="16" width="10.7109375" style="38" customWidth="1"/>
    <col min="17" max="17" width="11" style="38" customWidth="1"/>
    <col min="18" max="16384" width="12.5703125" style="38"/>
  </cols>
  <sheetData>
    <row r="1" spans="2:17">
      <c r="B1" s="38" t="s">
        <v>19</v>
      </c>
      <c r="F1" s="1" t="s">
        <v>19</v>
      </c>
      <c r="G1" s="914" t="s">
        <v>19</v>
      </c>
      <c r="H1" s="914"/>
    </row>
    <row r="2" spans="2:17" ht="13.5" thickBot="1">
      <c r="E2" s="930" t="s">
        <v>41</v>
      </c>
      <c r="F2" s="930"/>
      <c r="G2" s="930"/>
      <c r="H2" s="930"/>
      <c r="I2" s="930"/>
      <c r="J2" s="930"/>
      <c r="K2" s="202"/>
      <c r="L2" s="202"/>
      <c r="M2" s="235" t="s">
        <v>59</v>
      </c>
      <c r="N2" s="236"/>
      <c r="O2" s="235" t="s">
        <v>49</v>
      </c>
      <c r="Q2" s="235" t="s">
        <v>51</v>
      </c>
    </row>
    <row r="3" spans="2:17" ht="13.5" thickBot="1">
      <c r="F3" s="39"/>
      <c r="G3" s="39"/>
      <c r="H3" s="39"/>
      <c r="L3" s="231" t="s">
        <v>175</v>
      </c>
      <c r="M3" s="268">
        <f>+E17*N3</f>
        <v>0</v>
      </c>
      <c r="N3" s="269">
        <f>'W1 Cost &amp; Sales'!N3</f>
        <v>1.6200000000000003E-2</v>
      </c>
      <c r="O3" s="270">
        <f>'Entry Sheet '!G16+'Entry Sheet '!G18+'Entry Sheet '!G19+'Entry Sheet '!G20+'Entry Sheet '!G21+'Entry Sheet '!G28</f>
        <v>0</v>
      </c>
      <c r="P3" s="269" t="e">
        <f>+O3/E17</f>
        <v>#DIV/0!</v>
      </c>
      <c r="Q3" s="271">
        <f>+O3-M3</f>
        <v>0</v>
      </c>
    </row>
    <row r="4" spans="2:17" ht="15.75" customHeight="1" thickBot="1">
      <c r="D4" s="1" t="s">
        <v>20</v>
      </c>
      <c r="E4" s="901" t="str">
        <f>'W1 Forecast'!F2</f>
        <v>Max Fish</v>
      </c>
      <c r="F4" s="902"/>
      <c r="H4" s="1" t="s">
        <v>42</v>
      </c>
      <c r="I4" s="164">
        <f>H17</f>
        <v>38801.39</v>
      </c>
      <c r="J4" s="165" t="e">
        <f>I4/E17</f>
        <v>#DIV/0!</v>
      </c>
      <c r="L4" s="231" t="s">
        <v>176</v>
      </c>
      <c r="M4" s="272">
        <f>+E17*N4</f>
        <v>0</v>
      </c>
      <c r="N4" s="273">
        <f>'W1 Cost &amp; Sales'!N4</f>
        <v>2.5899999999999999E-2</v>
      </c>
      <c r="O4" s="274">
        <f>'Entry Sheet '!G17+'Entry Sheet '!G22+'Entry Sheet '!G23+'Entry Sheet '!G24+'Entry Sheet '!G25+'Entry Sheet '!G26+'Entry Sheet '!G27+'Entry Sheet '!G29+'Entry Sheet '!G30+'Entry Sheet '!G31+'Entry Sheet '!G32</f>
        <v>0</v>
      </c>
      <c r="P4" s="273" t="e">
        <f>+O4/E17</f>
        <v>#DIV/0!</v>
      </c>
      <c r="Q4" s="275">
        <f>+O4-M4</f>
        <v>0</v>
      </c>
    </row>
    <row r="5" spans="2:17" ht="15.75" customHeight="1" thickBot="1">
      <c r="D5" s="1" t="s">
        <v>44</v>
      </c>
      <c r="E5" s="903">
        <f>'W3 Forecast'!J14</f>
        <v>44241</v>
      </c>
      <c r="F5" s="904"/>
      <c r="H5" s="1" t="s">
        <v>43</v>
      </c>
      <c r="I5" s="166">
        <f>+I50</f>
        <v>5103.84</v>
      </c>
      <c r="J5" s="167" t="e">
        <f>I5/E17</f>
        <v>#DIV/0!</v>
      </c>
      <c r="L5" s="231" t="s">
        <v>191</v>
      </c>
      <c r="M5" s="276">
        <f>+M4+M3</f>
        <v>0</v>
      </c>
      <c r="N5" s="277" t="e">
        <f>+M5/E17</f>
        <v>#DIV/0!</v>
      </c>
      <c r="O5" s="278">
        <f>+O4+O3</f>
        <v>0</v>
      </c>
      <c r="P5" s="277" t="e">
        <f>+O5/E17</f>
        <v>#DIV/0!</v>
      </c>
      <c r="Q5" s="279">
        <f>+O5-M5</f>
        <v>0</v>
      </c>
    </row>
    <row r="6" spans="2:17" ht="13.5" thickBot="1">
      <c r="D6" s="145">
        <f>'W1 Forecast'!E3</f>
        <v>2</v>
      </c>
      <c r="E6" s="144" t="s">
        <v>87</v>
      </c>
      <c r="F6" s="149">
        <f>'W3 Forecast'!G3</f>
        <v>3</v>
      </c>
      <c r="H6" s="1" t="s">
        <v>45</v>
      </c>
      <c r="I6" s="168">
        <f>+SUM(I4:I5)</f>
        <v>43905.229999999996</v>
      </c>
      <c r="J6" s="169" t="e">
        <f>I6/E17</f>
        <v>#DIV/0!</v>
      </c>
      <c r="L6" s="231" t="s">
        <v>192</v>
      </c>
      <c r="M6" s="280">
        <f>+E17-M5</f>
        <v>0</v>
      </c>
      <c r="N6" s="281"/>
      <c r="O6" s="282"/>
      <c r="P6" s="281"/>
      <c r="Q6" s="282"/>
    </row>
    <row r="7" spans="2:17">
      <c r="H7" s="39"/>
      <c r="I7" s="1"/>
    </row>
    <row r="8" spans="2:17" ht="6.75" customHeight="1" thickBot="1">
      <c r="F8" s="40" t="s">
        <v>19</v>
      </c>
      <c r="G8" s="41" t="s">
        <v>19</v>
      </c>
      <c r="H8" s="41"/>
      <c r="I8" s="42"/>
      <c r="J8" s="43"/>
      <c r="K8" s="44"/>
      <c r="L8" s="37"/>
      <c r="M8" s="37"/>
    </row>
    <row r="9" spans="2:17" s="37" customFormat="1" ht="19.5" customHeight="1" thickBot="1">
      <c r="B9" s="915" t="s">
        <v>82</v>
      </c>
      <c r="C9" s="916"/>
      <c r="D9" s="1"/>
      <c r="E9" s="917" t="s">
        <v>19</v>
      </c>
      <c r="F9" s="918"/>
      <c r="G9" s="919"/>
      <c r="H9" s="920" t="s">
        <v>46</v>
      </c>
      <c r="I9" s="921"/>
      <c r="J9" s="921"/>
      <c r="K9" s="921"/>
      <c r="L9" s="921"/>
      <c r="M9" s="922"/>
      <c r="N9" s="923" t="s">
        <v>1</v>
      </c>
      <c r="O9" s="924"/>
      <c r="P9" s="924"/>
      <c r="Q9" s="925"/>
    </row>
    <row r="10" spans="2:17" s="37" customFormat="1" ht="19.5" customHeight="1" thickBot="1">
      <c r="B10" s="181" t="s">
        <v>83</v>
      </c>
      <c r="C10" s="182" t="s">
        <v>84</v>
      </c>
      <c r="D10" s="1"/>
      <c r="E10" s="183" t="s">
        <v>47</v>
      </c>
      <c r="F10" s="184" t="s">
        <v>48</v>
      </c>
      <c r="G10" s="749" t="s">
        <v>38</v>
      </c>
      <c r="H10" s="736" t="s">
        <v>49</v>
      </c>
      <c r="I10" s="185" t="s">
        <v>38</v>
      </c>
      <c r="J10" s="186" t="s">
        <v>50</v>
      </c>
      <c r="K10" s="187" t="s">
        <v>38</v>
      </c>
      <c r="L10" s="750" t="s">
        <v>51</v>
      </c>
      <c r="M10" s="187" t="s">
        <v>38</v>
      </c>
      <c r="N10" s="183" t="s">
        <v>47</v>
      </c>
      <c r="O10" s="184" t="s">
        <v>51</v>
      </c>
      <c r="P10" s="184" t="s">
        <v>80</v>
      </c>
      <c r="Q10" s="188" t="s">
        <v>51</v>
      </c>
    </row>
    <row r="11" spans="2:17" ht="17.45" customHeight="1" thickBot="1">
      <c r="B11" s="172">
        <f>B26</f>
        <v>3298.03</v>
      </c>
      <c r="C11" s="175">
        <f>C26</f>
        <v>0</v>
      </c>
      <c r="D11" s="1" t="s">
        <v>29</v>
      </c>
      <c r="E11" s="170">
        <f>'Entry Sheet '!G8</f>
        <v>0</v>
      </c>
      <c r="F11" s="171">
        <f>F26</f>
        <v>0</v>
      </c>
      <c r="G11" s="124" t="e">
        <f t="shared" ref="G11:G17" si="0">F11/E11</f>
        <v>#DIV/0!</v>
      </c>
      <c r="H11" s="45">
        <f>+B11+F11-C11</f>
        <v>3298.03</v>
      </c>
      <c r="I11" s="125" t="e">
        <f t="shared" ref="I11:I17" si="1">H11/E11</f>
        <v>#DIV/0!</v>
      </c>
      <c r="J11" s="45">
        <f>J26</f>
        <v>0</v>
      </c>
      <c r="K11" s="47" t="e">
        <f t="shared" ref="K11:K17" si="2">J11/E11</f>
        <v>#DIV/0!</v>
      </c>
      <c r="L11" s="46">
        <f>H11-J11</f>
        <v>3298.03</v>
      </c>
      <c r="M11" s="47" t="e">
        <f t="shared" ref="M11:M17" si="3">L11/E11</f>
        <v>#DIV/0!</v>
      </c>
      <c r="N11" s="105">
        <f>'W3 Forecast'!I20</f>
        <v>64879.439999999995</v>
      </c>
      <c r="O11" s="106">
        <f t="shared" ref="O11:O16" si="4">+E11-N11</f>
        <v>-64879.439999999995</v>
      </c>
      <c r="P11" s="107">
        <f>'W3 Forecast'!L20*'W3 Cost &amp; Sales '!E11</f>
        <v>0</v>
      </c>
      <c r="Q11" s="108">
        <f t="shared" ref="Q11:Q16" si="5">+H11-P11</f>
        <v>3298.03</v>
      </c>
    </row>
    <row r="12" spans="2:17" ht="17.45" customHeight="1">
      <c r="B12" s="173">
        <f>'W2 Cost &amp; Sales'!C12</f>
        <v>14304.32</v>
      </c>
      <c r="C12" s="180">
        <f>'Entry Sheet '!G114</f>
        <v>0</v>
      </c>
      <c r="D12" s="1" t="s">
        <v>24</v>
      </c>
      <c r="E12" s="110">
        <f>'Entry Sheet '!G9</f>
        <v>0</v>
      </c>
      <c r="F12" s="49">
        <f>'Entry Sheet '!G96</f>
        <v>0</v>
      </c>
      <c r="G12" s="62" t="e">
        <f t="shared" si="0"/>
        <v>#DIV/0!</v>
      </c>
      <c r="H12" s="48">
        <f>+B12+F12-C12</f>
        <v>14304.32</v>
      </c>
      <c r="I12" s="51" t="e">
        <f t="shared" si="1"/>
        <v>#DIV/0!</v>
      </c>
      <c r="J12" s="48">
        <f>'Entry Sheet '!G127</f>
        <v>0</v>
      </c>
      <c r="K12" s="50" t="e">
        <f t="shared" si="2"/>
        <v>#DIV/0!</v>
      </c>
      <c r="L12" s="52">
        <f>H12-J12</f>
        <v>14304.32</v>
      </c>
      <c r="M12" s="50" t="e">
        <f t="shared" si="3"/>
        <v>#DIV/0!</v>
      </c>
      <c r="N12" s="105">
        <f>'W3 Forecast'!I21</f>
        <v>10288.68</v>
      </c>
      <c r="O12" s="100">
        <f t="shared" si="4"/>
        <v>-10288.68</v>
      </c>
      <c r="P12" s="107">
        <f>'W3 Forecast'!L21*'W3 Cost &amp; Sales '!E12</f>
        <v>0</v>
      </c>
      <c r="Q12" s="102">
        <f t="shared" si="5"/>
        <v>14304.32</v>
      </c>
    </row>
    <row r="13" spans="2:17" ht="17.45" customHeight="1">
      <c r="B13" s="173">
        <f>'W2 Cost &amp; Sales'!C13</f>
        <v>2641.15</v>
      </c>
      <c r="C13" s="176">
        <f>'Entry Sheet '!G115</f>
        <v>0</v>
      </c>
      <c r="D13" s="1" t="s">
        <v>25</v>
      </c>
      <c r="E13" s="110">
        <f>'Entry Sheet '!G10</f>
        <v>0</v>
      </c>
      <c r="F13" s="49">
        <f>'Entry Sheet '!G97</f>
        <v>0</v>
      </c>
      <c r="G13" s="62" t="e">
        <f t="shared" si="0"/>
        <v>#DIV/0!</v>
      </c>
      <c r="H13" s="48">
        <f>+B13+F13-C13</f>
        <v>2641.15</v>
      </c>
      <c r="I13" s="51" t="e">
        <f t="shared" si="1"/>
        <v>#DIV/0!</v>
      </c>
      <c r="J13" s="48">
        <f>'Entry Sheet '!G128</f>
        <v>0</v>
      </c>
      <c r="K13" s="50" t="e">
        <f t="shared" si="2"/>
        <v>#DIV/0!</v>
      </c>
      <c r="L13" s="52">
        <f>H13-J13</f>
        <v>2641.15</v>
      </c>
      <c r="M13" s="50" t="e">
        <f t="shared" si="3"/>
        <v>#DIV/0!</v>
      </c>
      <c r="N13" s="105">
        <f>'W3 Forecast'!I22</f>
        <v>4830.6000000000004</v>
      </c>
      <c r="O13" s="100">
        <f t="shared" si="4"/>
        <v>-4830.6000000000004</v>
      </c>
      <c r="P13" s="107">
        <f>'W3 Forecast'!L22*'W3 Cost &amp; Sales '!E13</f>
        <v>0</v>
      </c>
      <c r="Q13" s="102">
        <f t="shared" si="5"/>
        <v>2641.15</v>
      </c>
    </row>
    <row r="14" spans="2:17" ht="17.45" customHeight="1">
      <c r="B14" s="173">
        <f>'W2 Cost &amp; Sales'!C14</f>
        <v>17174.150000000001</v>
      </c>
      <c r="C14" s="176">
        <f>'Entry Sheet '!G116</f>
        <v>0</v>
      </c>
      <c r="D14" s="1" t="s">
        <v>26</v>
      </c>
      <c r="E14" s="110">
        <f>'Entry Sheet '!G11</f>
        <v>0</v>
      </c>
      <c r="F14" s="49">
        <f>'Entry Sheet '!G98</f>
        <v>0</v>
      </c>
      <c r="G14" s="62" t="e">
        <f t="shared" si="0"/>
        <v>#DIV/0!</v>
      </c>
      <c r="H14" s="48">
        <f>+B14+F14-C14</f>
        <v>17174.150000000001</v>
      </c>
      <c r="I14" s="51" t="e">
        <f t="shared" si="1"/>
        <v>#DIV/0!</v>
      </c>
      <c r="J14" s="48">
        <f>'Entry Sheet '!G129</f>
        <v>0</v>
      </c>
      <c r="K14" s="50" t="e">
        <f t="shared" si="2"/>
        <v>#DIV/0!</v>
      </c>
      <c r="L14" s="52">
        <f>H14-J14</f>
        <v>17174.150000000001</v>
      </c>
      <c r="M14" s="50" t="e">
        <f t="shared" si="3"/>
        <v>#DIV/0!</v>
      </c>
      <c r="N14" s="105">
        <f>'W3 Forecast'!I23</f>
        <v>16772.64</v>
      </c>
      <c r="O14" s="100">
        <f t="shared" si="4"/>
        <v>-16772.64</v>
      </c>
      <c r="P14" s="107">
        <f>'W3 Forecast'!L23*'W3 Cost &amp; Sales '!E14</f>
        <v>0</v>
      </c>
      <c r="Q14" s="102">
        <f t="shared" si="5"/>
        <v>17174.150000000001</v>
      </c>
    </row>
    <row r="15" spans="2:17" ht="17.45" customHeight="1">
      <c r="B15" s="173">
        <f>'W2 Cost &amp; Sales'!C15</f>
        <v>1383.74</v>
      </c>
      <c r="C15" s="730">
        <f>'Entry Sheet '!G117</f>
        <v>0</v>
      </c>
      <c r="D15" s="1" t="s">
        <v>85</v>
      </c>
      <c r="E15" s="110">
        <f>'Entry Sheet '!G12</f>
        <v>0</v>
      </c>
      <c r="F15" s="49">
        <f>'Entry Sheet '!G99</f>
        <v>0</v>
      </c>
      <c r="G15" s="62" t="e">
        <f t="shared" si="0"/>
        <v>#DIV/0!</v>
      </c>
      <c r="H15" s="48">
        <f>+B15+F15-C15</f>
        <v>1383.74</v>
      </c>
      <c r="I15" s="51" t="e">
        <f t="shared" si="1"/>
        <v>#DIV/0!</v>
      </c>
      <c r="J15" s="48">
        <f>'Entry Sheet '!G130</f>
        <v>0</v>
      </c>
      <c r="K15" s="50" t="e">
        <f t="shared" si="2"/>
        <v>#DIV/0!</v>
      </c>
      <c r="L15" s="52">
        <f>H15-J15</f>
        <v>1383.74</v>
      </c>
      <c r="M15" s="50" t="e">
        <f t="shared" si="3"/>
        <v>#DIV/0!</v>
      </c>
      <c r="N15" s="105">
        <f>'W3 Forecast'!I24</f>
        <v>2828.6400000000003</v>
      </c>
      <c r="O15" s="100">
        <f t="shared" si="4"/>
        <v>-2828.6400000000003</v>
      </c>
      <c r="P15" s="107">
        <f>'W3 Forecast'!L24*'W3 Cost &amp; Sales '!E15</f>
        <v>0</v>
      </c>
      <c r="Q15" s="102">
        <f t="shared" si="5"/>
        <v>1383.74</v>
      </c>
    </row>
    <row r="16" spans="2:17" ht="17.45" customHeight="1" thickBot="1">
      <c r="B16" s="194"/>
      <c r="C16" s="741"/>
      <c r="D16" s="1" t="s">
        <v>241</v>
      </c>
      <c r="E16" s="117">
        <f>'Entry Sheet '!G13</f>
        <v>0</v>
      </c>
      <c r="F16" s="731"/>
      <c r="G16" s="747"/>
      <c r="H16" s="732"/>
      <c r="I16" s="733"/>
      <c r="J16" s="732"/>
      <c r="K16" s="735"/>
      <c r="L16" s="734"/>
      <c r="M16" s="735"/>
      <c r="N16" s="737">
        <f>'W3 Forecast'!I25</f>
        <v>0</v>
      </c>
      <c r="O16" s="103">
        <f t="shared" si="4"/>
        <v>0</v>
      </c>
      <c r="P16" s="738">
        <f>'W3 Forecast'!L25*'W3 Cost &amp; Sales '!E16</f>
        <v>0</v>
      </c>
      <c r="Q16" s="104">
        <f t="shared" si="5"/>
        <v>0</v>
      </c>
    </row>
    <row r="17" spans="2:17" s="37" customFormat="1" ht="19.5" customHeight="1" thickBot="1">
      <c r="B17" s="739">
        <f>SUM(B11:B16)</f>
        <v>38801.39</v>
      </c>
      <c r="C17" s="740">
        <f>SUM(C11:C16)</f>
        <v>0</v>
      </c>
      <c r="D17" s="1" t="s">
        <v>0</v>
      </c>
      <c r="E17" s="117">
        <f>SUM(E11:E16)</f>
        <v>0</v>
      </c>
      <c r="F17" s="117">
        <f>SUM(F11:F16)</f>
        <v>0</v>
      </c>
      <c r="G17" s="130" t="e">
        <f t="shared" si="0"/>
        <v>#DIV/0!</v>
      </c>
      <c r="H17" s="117">
        <f>SUM(H11:H16)</f>
        <v>38801.39</v>
      </c>
      <c r="I17" s="119" t="e">
        <f t="shared" si="1"/>
        <v>#DIV/0!</v>
      </c>
      <c r="J17" s="117">
        <f>SUM(J11:J16)</f>
        <v>0</v>
      </c>
      <c r="K17" s="118" t="e">
        <f t="shared" si="2"/>
        <v>#DIV/0!</v>
      </c>
      <c r="L17" s="117">
        <f>SUM(L11:L16)</f>
        <v>38801.39</v>
      </c>
      <c r="M17" s="118" t="e">
        <f t="shared" si="3"/>
        <v>#DIV/0!</v>
      </c>
      <c r="N17" s="117">
        <f>SUM(N11:N16)</f>
        <v>99600</v>
      </c>
      <c r="O17" s="117">
        <f>SUM(O11:O16)</f>
        <v>-99600</v>
      </c>
      <c r="P17" s="117">
        <f>SUM(P11:P16)</f>
        <v>0</v>
      </c>
      <c r="Q17" s="740">
        <f>SUM(Q11:Q16)</f>
        <v>38801.39</v>
      </c>
    </row>
    <row r="18" spans="2:17" ht="15.75" customHeight="1" thickBot="1">
      <c r="B18" s="98"/>
      <c r="C18" s="98"/>
      <c r="D18" s="1"/>
      <c r="E18" s="65"/>
      <c r="F18" s="56"/>
      <c r="G18" s="57"/>
      <c r="H18" s="58"/>
      <c r="I18" s="59"/>
      <c r="J18" s="58"/>
      <c r="K18" s="57"/>
      <c r="L18" s="56"/>
      <c r="M18" s="57"/>
    </row>
    <row r="19" spans="2:17" ht="15.75" customHeight="1">
      <c r="B19" s="179">
        <f>'W2 Cost &amp; Sales'!C19</f>
        <v>1655.75</v>
      </c>
      <c r="C19" s="659">
        <f>'Entry Sheet '!G118</f>
        <v>0</v>
      </c>
      <c r="E19" s="1" t="s">
        <v>30</v>
      </c>
      <c r="F19" s="45">
        <f>'Entry Sheet '!G100</f>
        <v>0</v>
      </c>
      <c r="G19" s="60" t="e">
        <f>F19/$E$11</f>
        <v>#DIV/0!</v>
      </c>
      <c r="H19" s="45">
        <f t="shared" ref="H19:H25" si="6">+B19+F19-C19</f>
        <v>1655.75</v>
      </c>
      <c r="I19" s="125" t="e">
        <f>H19/$E$11</f>
        <v>#DIV/0!</v>
      </c>
      <c r="J19" s="658">
        <f>'Entry Sheet '!G131</f>
        <v>0</v>
      </c>
      <c r="K19" s="47" t="e">
        <f>J19/$E$11</f>
        <v>#DIV/0!</v>
      </c>
      <c r="L19" s="45">
        <f t="shared" ref="L19:L26" si="7">H19-J19</f>
        <v>1655.75</v>
      </c>
      <c r="M19" s="47" t="e">
        <f>L19/$E$11</f>
        <v>#DIV/0!</v>
      </c>
      <c r="O19" s="855" t="s">
        <v>300</v>
      </c>
    </row>
    <row r="20" spans="2:17" ht="15.75" customHeight="1">
      <c r="B20" s="174">
        <f>'W2 Cost &amp; Sales'!C20</f>
        <v>1512.34</v>
      </c>
      <c r="C20" s="660">
        <f>'Entry Sheet '!G119</f>
        <v>0</v>
      </c>
      <c r="E20" s="1" t="s">
        <v>31</v>
      </c>
      <c r="F20" s="48">
        <f>'Entry Sheet '!G101</f>
        <v>0</v>
      </c>
      <c r="G20" s="62" t="e">
        <f t="shared" ref="G20:G26" si="8">F20/$E$11</f>
        <v>#DIV/0!</v>
      </c>
      <c r="H20" s="48">
        <f t="shared" si="6"/>
        <v>1512.34</v>
      </c>
      <c r="I20" s="51" t="e">
        <f t="shared" ref="I20:I26" si="9">H20/$E$11</f>
        <v>#DIV/0!</v>
      </c>
      <c r="J20" s="48">
        <f>'Entry Sheet '!G132</f>
        <v>0</v>
      </c>
      <c r="K20" s="50" t="e">
        <f t="shared" ref="K20:K26" si="10">J20/$E$11</f>
        <v>#DIV/0!</v>
      </c>
      <c r="L20" s="48">
        <f t="shared" si="7"/>
        <v>1512.34</v>
      </c>
      <c r="M20" s="50" t="e">
        <f t="shared" ref="M20:M26" si="11">L20/$E$11</f>
        <v>#DIV/0!</v>
      </c>
      <c r="O20" s="854">
        <f>SUM(L19:L21)</f>
        <v>3298.03</v>
      </c>
    </row>
    <row r="21" spans="2:17" ht="15.75" customHeight="1">
      <c r="B21" s="174">
        <f>'W2 Cost &amp; Sales'!C21</f>
        <v>129.94</v>
      </c>
      <c r="C21" s="660">
        <f>'Entry Sheet '!G120</f>
        <v>0</v>
      </c>
      <c r="E21" s="1" t="s">
        <v>32</v>
      </c>
      <c r="F21" s="48">
        <f>'Entry Sheet '!G102</f>
        <v>0</v>
      </c>
      <c r="G21" s="62" t="e">
        <f t="shared" si="8"/>
        <v>#DIV/0!</v>
      </c>
      <c r="H21" s="48">
        <f t="shared" si="6"/>
        <v>129.94</v>
      </c>
      <c r="I21" s="51" t="e">
        <f t="shared" si="9"/>
        <v>#DIV/0!</v>
      </c>
      <c r="J21" s="48">
        <f>'Entry Sheet '!G133</f>
        <v>0</v>
      </c>
      <c r="K21" s="50" t="e">
        <f t="shared" si="10"/>
        <v>#DIV/0!</v>
      </c>
      <c r="L21" s="48">
        <f t="shared" si="7"/>
        <v>129.94</v>
      </c>
      <c r="M21" s="50" t="e">
        <f t="shared" si="11"/>
        <v>#DIV/0!</v>
      </c>
    </row>
    <row r="22" spans="2:17" ht="15.75" customHeight="1">
      <c r="B22" s="174">
        <f>'W2 Cost &amp; Sales'!C22</f>
        <v>0</v>
      </c>
      <c r="C22" s="660">
        <f>'Entry Sheet '!G121</f>
        <v>0</v>
      </c>
      <c r="E22" s="1" t="s">
        <v>33</v>
      </c>
      <c r="F22" s="48">
        <f>'Entry Sheet '!G103</f>
        <v>0</v>
      </c>
      <c r="G22" s="62" t="e">
        <f t="shared" si="8"/>
        <v>#DIV/0!</v>
      </c>
      <c r="H22" s="48">
        <f t="shared" si="6"/>
        <v>0</v>
      </c>
      <c r="I22" s="51" t="e">
        <f t="shared" si="9"/>
        <v>#DIV/0!</v>
      </c>
      <c r="J22" s="48">
        <f>$E$11*K22</f>
        <v>0</v>
      </c>
      <c r="K22" s="824">
        <v>2.1000000000000001E-2</v>
      </c>
      <c r="L22" s="48">
        <f t="shared" si="7"/>
        <v>0</v>
      </c>
      <c r="M22" s="50" t="e">
        <f t="shared" si="11"/>
        <v>#DIV/0!</v>
      </c>
    </row>
    <row r="23" spans="2:17" ht="15.75" customHeight="1">
      <c r="B23" s="174">
        <f>'W2 Cost &amp; Sales'!C23</f>
        <v>0</v>
      </c>
      <c r="C23" s="660">
        <f>'Entry Sheet '!G122</f>
        <v>0</v>
      </c>
      <c r="E23" s="1" t="s">
        <v>34</v>
      </c>
      <c r="F23" s="48">
        <f>'Entry Sheet '!G104</f>
        <v>0</v>
      </c>
      <c r="G23" s="62" t="e">
        <f t="shared" si="8"/>
        <v>#DIV/0!</v>
      </c>
      <c r="H23" s="48">
        <f t="shared" si="6"/>
        <v>0</v>
      </c>
      <c r="I23" s="51" t="e">
        <f t="shared" si="9"/>
        <v>#DIV/0!</v>
      </c>
      <c r="J23" s="48">
        <f>$E$11*K23</f>
        <v>0</v>
      </c>
      <c r="K23" s="824">
        <v>2.9000000000000001E-2</v>
      </c>
      <c r="L23" s="48">
        <f t="shared" si="7"/>
        <v>0</v>
      </c>
      <c r="M23" s="50" t="e">
        <f t="shared" si="11"/>
        <v>#DIV/0!</v>
      </c>
    </row>
    <row r="24" spans="2:17" ht="15.75" customHeight="1">
      <c r="B24" s="174">
        <f>'W2 Cost &amp; Sales'!C24</f>
        <v>0</v>
      </c>
      <c r="C24" s="660">
        <f>'Entry Sheet '!G123</f>
        <v>0</v>
      </c>
      <c r="E24" s="1" t="s">
        <v>35</v>
      </c>
      <c r="F24" s="48">
        <f>'Entry Sheet '!G105</f>
        <v>0</v>
      </c>
      <c r="G24" s="62" t="e">
        <f t="shared" si="8"/>
        <v>#DIV/0!</v>
      </c>
      <c r="H24" s="48">
        <f t="shared" si="6"/>
        <v>0</v>
      </c>
      <c r="I24" s="51" t="e">
        <f t="shared" si="9"/>
        <v>#DIV/0!</v>
      </c>
      <c r="J24" s="48">
        <f>$E$11*K24</f>
        <v>0</v>
      </c>
      <c r="K24" s="824">
        <v>0.02</v>
      </c>
      <c r="L24" s="48">
        <f t="shared" si="7"/>
        <v>0</v>
      </c>
      <c r="M24" s="50" t="e">
        <f t="shared" si="11"/>
        <v>#DIV/0!</v>
      </c>
    </row>
    <row r="25" spans="2:17" ht="15.75" customHeight="1" thickBot="1">
      <c r="B25" s="174">
        <f>'W2 Cost &amp; Sales'!C25</f>
        <v>0</v>
      </c>
      <c r="C25" s="661">
        <f>'Entry Sheet '!G124</f>
        <v>0</v>
      </c>
      <c r="E25" s="1" t="s">
        <v>52</v>
      </c>
      <c r="F25" s="656">
        <f>'Entry Sheet '!G106</f>
        <v>0</v>
      </c>
      <c r="G25" s="63" t="e">
        <f t="shared" si="8"/>
        <v>#DIV/0!</v>
      </c>
      <c r="H25" s="53">
        <f t="shared" si="6"/>
        <v>0</v>
      </c>
      <c r="I25" s="126" t="e">
        <f t="shared" si="9"/>
        <v>#DIV/0!</v>
      </c>
      <c r="J25" s="48">
        <f>$E$11*K25</f>
        <v>0</v>
      </c>
      <c r="K25" s="825">
        <v>2.1999999999999999E-2</v>
      </c>
      <c r="L25" s="53">
        <f t="shared" si="7"/>
        <v>0</v>
      </c>
      <c r="M25" s="55" t="e">
        <f t="shared" si="11"/>
        <v>#DIV/0!</v>
      </c>
      <c r="O25" s="64"/>
    </row>
    <row r="26" spans="2:17" s="37" customFormat="1" ht="15.75" customHeight="1" thickBot="1">
      <c r="B26" s="189">
        <f>SUM(B19:B25)</f>
        <v>3298.03</v>
      </c>
      <c r="C26" s="190">
        <f>SUM(C19:C25)</f>
        <v>0</v>
      </c>
      <c r="E26" s="1" t="s">
        <v>0</v>
      </c>
      <c r="F26" s="657">
        <f>SUM(F19:F25)</f>
        <v>0</v>
      </c>
      <c r="G26" s="655" t="e">
        <f t="shared" si="8"/>
        <v>#DIV/0!</v>
      </c>
      <c r="H26" s="117">
        <f>SUM(H19:H25)</f>
        <v>3298.03</v>
      </c>
      <c r="I26" s="119" t="e">
        <f t="shared" si="9"/>
        <v>#DIV/0!</v>
      </c>
      <c r="J26" s="112">
        <f>SUM(J19:J25)</f>
        <v>0</v>
      </c>
      <c r="K26" s="116" t="e">
        <f t="shared" si="10"/>
        <v>#DIV/0!</v>
      </c>
      <c r="L26" s="112">
        <f t="shared" si="7"/>
        <v>3298.03</v>
      </c>
      <c r="M26" s="121" t="e">
        <f t="shared" si="11"/>
        <v>#DIV/0!</v>
      </c>
    </row>
    <row r="27" spans="2:17" ht="15.75" customHeight="1" thickBot="1">
      <c r="E27" s="1"/>
      <c r="F27" s="56"/>
      <c r="G27" s="57"/>
      <c r="H27" s="56"/>
      <c r="I27" s="59"/>
      <c r="J27" s="56"/>
      <c r="K27" s="57"/>
      <c r="L27" s="56"/>
      <c r="M27" s="57"/>
    </row>
    <row r="28" spans="2:17" ht="15.75" customHeight="1" thickBot="1">
      <c r="D28" s="1"/>
      <c r="E28" s="65"/>
      <c r="F28" s="931" t="s">
        <v>59</v>
      </c>
      <c r="G28" s="932"/>
      <c r="H28" s="932"/>
      <c r="I28" s="933" t="s">
        <v>81</v>
      </c>
      <c r="J28" s="934"/>
      <c r="K28" s="934"/>
      <c r="L28" s="934"/>
      <c r="M28" s="934"/>
      <c r="N28" s="935"/>
      <c r="O28" s="936" t="s">
        <v>51</v>
      </c>
      <c r="P28" s="937"/>
    </row>
    <row r="29" spans="2:17" ht="44.25" customHeight="1" thickBot="1">
      <c r="B29" s="913" t="s">
        <v>292</v>
      </c>
      <c r="C29" s="913"/>
      <c r="D29" s="913"/>
      <c r="E29" s="1"/>
      <c r="F29" s="241" t="s">
        <v>40</v>
      </c>
      <c r="G29" s="193" t="s">
        <v>15</v>
      </c>
      <c r="H29" s="242" t="s">
        <v>38</v>
      </c>
      <c r="I29" s="243" t="s">
        <v>56</v>
      </c>
      <c r="J29" s="191" t="s">
        <v>53</v>
      </c>
      <c r="K29" s="191" t="s">
        <v>54</v>
      </c>
      <c r="L29" s="191" t="s">
        <v>55</v>
      </c>
      <c r="M29" s="191" t="s">
        <v>57</v>
      </c>
      <c r="N29" s="192" t="s">
        <v>58</v>
      </c>
      <c r="O29" s="380" t="s">
        <v>60</v>
      </c>
      <c r="P29" s="381" t="s">
        <v>61</v>
      </c>
    </row>
    <row r="30" spans="2:17" ht="16.149999999999999" customHeight="1">
      <c r="B30" s="842" t="s">
        <v>293</v>
      </c>
      <c r="C30" s="843">
        <f>C37*0.55</f>
        <v>15666.750000000002</v>
      </c>
      <c r="D30" s="844" t="e">
        <f>+C30/$E$17</f>
        <v>#DIV/0!</v>
      </c>
      <c r="E30" s="1" t="s">
        <v>17</v>
      </c>
      <c r="F30" s="403">
        <f>H30*E17</f>
        <v>0</v>
      </c>
      <c r="G30" s="237"/>
      <c r="H30" s="404">
        <f>'W3 Forecast'!E19</f>
        <v>2.7996586345381526E-2</v>
      </c>
      <c r="I30" s="405">
        <f>'W1 Forecast'!F19</f>
        <v>2788.46</v>
      </c>
      <c r="J30" s="238"/>
      <c r="K30" s="238"/>
      <c r="L30" s="238"/>
      <c r="M30" s="406" t="e">
        <f>+I30/E17</f>
        <v>#DIV/0!</v>
      </c>
      <c r="N30" s="239"/>
      <c r="O30" s="407">
        <f t="shared" ref="O30:O48" si="12">+I30-F30</f>
        <v>2788.46</v>
      </c>
      <c r="P30" s="240"/>
    </row>
    <row r="31" spans="2:17" ht="15.6" customHeight="1">
      <c r="B31" s="845" t="s">
        <v>294</v>
      </c>
      <c r="C31" s="846"/>
      <c r="D31" s="847" t="e">
        <f t="shared" ref="D31:D37" si="13">+C31/$E$17</f>
        <v>#DIV/0!</v>
      </c>
      <c r="E31" s="1" t="s">
        <v>3</v>
      </c>
      <c r="F31" s="324">
        <f>H31*E17</f>
        <v>0</v>
      </c>
      <c r="G31" s="325" t="e">
        <f t="shared" ref="G31:G36" si="14">F31/N31</f>
        <v>#DIV/0!</v>
      </c>
      <c r="H31" s="326">
        <f>+'W1 Forecast'!E20</f>
        <v>0.04</v>
      </c>
      <c r="I31" s="219">
        <f>'Entry Sheet '!G39+'Entry Sheet '!G41</f>
        <v>0</v>
      </c>
      <c r="J31" s="218">
        <f>'Entry Sheet '!G38</f>
        <v>0</v>
      </c>
      <c r="K31" s="218">
        <f>'Entry Sheet '!G40</f>
        <v>0</v>
      </c>
      <c r="L31" s="325">
        <f>+K31+J31</f>
        <v>0</v>
      </c>
      <c r="M31" s="330" t="e">
        <f t="shared" ref="M31:M38" si="15">+I31/$E$17</f>
        <v>#DIV/0!</v>
      </c>
      <c r="N31" s="332" t="e">
        <f>+I31/L31</f>
        <v>#DIV/0!</v>
      </c>
      <c r="O31" s="334">
        <f t="shared" si="12"/>
        <v>0</v>
      </c>
      <c r="P31" s="332" t="e">
        <f>+L31-G31</f>
        <v>#DIV/0!</v>
      </c>
    </row>
    <row r="32" spans="2:17" ht="15.75" customHeight="1">
      <c r="B32" s="845" t="s">
        <v>295</v>
      </c>
      <c r="C32" s="846">
        <f>C37*0.05</f>
        <v>1424.25</v>
      </c>
      <c r="D32" s="847" t="e">
        <f t="shared" si="13"/>
        <v>#DIV/0!</v>
      </c>
      <c r="E32" s="1" t="s">
        <v>168</v>
      </c>
      <c r="F32" s="324">
        <f>H32*E17</f>
        <v>0</v>
      </c>
      <c r="G32" s="325" t="e">
        <f t="shared" si="14"/>
        <v>#DIV/0!</v>
      </c>
      <c r="H32" s="326">
        <f>+'W1 Forecast'!E21</f>
        <v>1.35E-2</v>
      </c>
      <c r="I32" s="219">
        <f>'Entry Sheet '!G59+'Entry Sheet '!G61</f>
        <v>0</v>
      </c>
      <c r="J32" s="218">
        <f>'Entry Sheet '!G58</f>
        <v>0</v>
      </c>
      <c r="K32" s="218">
        <f>'Entry Sheet '!G60</f>
        <v>0</v>
      </c>
      <c r="L32" s="325">
        <f>+K32+J32</f>
        <v>0</v>
      </c>
      <c r="M32" s="330" t="e">
        <f t="shared" si="15"/>
        <v>#DIV/0!</v>
      </c>
      <c r="N32" s="332" t="e">
        <f t="shared" ref="N32:N39" si="16">+I32/L32</f>
        <v>#DIV/0!</v>
      </c>
      <c r="O32" s="334">
        <f t="shared" si="12"/>
        <v>0</v>
      </c>
      <c r="P32" s="332" t="e">
        <f t="shared" ref="P32:P39" si="17">+L32-G32</f>
        <v>#DIV/0!</v>
      </c>
    </row>
    <row r="33" spans="2:16" ht="15.75" customHeight="1">
      <c r="B33" s="845" t="s">
        <v>296</v>
      </c>
      <c r="C33" s="846"/>
      <c r="D33" s="847" t="e">
        <f t="shared" si="13"/>
        <v>#DIV/0!</v>
      </c>
      <c r="E33" s="1" t="s">
        <v>169</v>
      </c>
      <c r="F33" s="324">
        <f>H33*E17</f>
        <v>0</v>
      </c>
      <c r="G33" s="325" t="e">
        <f t="shared" si="14"/>
        <v>#DIV/0!</v>
      </c>
      <c r="H33" s="326">
        <f>+'W1 Forecast'!E22</f>
        <v>1.03E-2</v>
      </c>
      <c r="I33" s="219">
        <f>'Entry Sheet '!G55+'Entry Sheet '!G57</f>
        <v>0</v>
      </c>
      <c r="J33" s="218">
        <f>'Entry Sheet '!G54</f>
        <v>0</v>
      </c>
      <c r="K33" s="218">
        <f>'Entry Sheet '!G56</f>
        <v>0</v>
      </c>
      <c r="L33" s="325">
        <f>+K33+J33</f>
        <v>0</v>
      </c>
      <c r="M33" s="330" t="e">
        <f t="shared" si="15"/>
        <v>#DIV/0!</v>
      </c>
      <c r="N33" s="332" t="e">
        <f t="shared" si="16"/>
        <v>#DIV/0!</v>
      </c>
      <c r="O33" s="334">
        <f t="shared" si="12"/>
        <v>0</v>
      </c>
      <c r="P33" s="332" t="e">
        <f t="shared" si="17"/>
        <v>#DIV/0!</v>
      </c>
    </row>
    <row r="34" spans="2:16" ht="15.75" customHeight="1">
      <c r="B34" s="845" t="s">
        <v>297</v>
      </c>
      <c r="C34" s="846">
        <f>C37-C30-C32</f>
        <v>11393.999999999998</v>
      </c>
      <c r="D34" s="847" t="e">
        <f t="shared" si="13"/>
        <v>#DIV/0!</v>
      </c>
      <c r="E34" s="1" t="s">
        <v>4</v>
      </c>
      <c r="F34" s="324">
        <f>H34*E17</f>
        <v>0</v>
      </c>
      <c r="G34" s="325" t="e">
        <f t="shared" si="14"/>
        <v>#DIV/0!</v>
      </c>
      <c r="H34" s="326">
        <f>+'W1 Forecast'!E23</f>
        <v>4.4999999999999997E-3</v>
      </c>
      <c r="I34" s="219">
        <f>'Entry Sheet '!G51+'Entry Sheet '!G53</f>
        <v>0</v>
      </c>
      <c r="J34" s="218">
        <f>'Entry Sheet '!G50</f>
        <v>0</v>
      </c>
      <c r="K34" s="218">
        <f>'Entry Sheet '!G52</f>
        <v>0</v>
      </c>
      <c r="L34" s="325">
        <f t="shared" ref="L34:L47" si="18">+K34+J34</f>
        <v>0</v>
      </c>
      <c r="M34" s="330" t="e">
        <f t="shared" si="15"/>
        <v>#DIV/0!</v>
      </c>
      <c r="N34" s="332" t="e">
        <f t="shared" si="16"/>
        <v>#DIV/0!</v>
      </c>
      <c r="O34" s="334">
        <f t="shared" si="12"/>
        <v>0</v>
      </c>
      <c r="P34" s="332" t="e">
        <f t="shared" si="17"/>
        <v>#DIV/0!</v>
      </c>
    </row>
    <row r="35" spans="2:16" ht="15.75" customHeight="1">
      <c r="B35" s="845" t="s">
        <v>298</v>
      </c>
      <c r="C35" s="846"/>
      <c r="D35" s="847" t="e">
        <f t="shared" si="13"/>
        <v>#DIV/0!</v>
      </c>
      <c r="E35" s="1" t="s">
        <v>170</v>
      </c>
      <c r="F35" s="324">
        <f>H35*E17</f>
        <v>0</v>
      </c>
      <c r="G35" s="325" t="e">
        <f t="shared" si="14"/>
        <v>#DIV/0!</v>
      </c>
      <c r="H35" s="326">
        <f>+'W1 Forecast'!E24</f>
        <v>5.0000000000000001E-3</v>
      </c>
      <c r="I35" s="219">
        <f>'Entry Sheet '!G47+'Entry Sheet '!G49</f>
        <v>0</v>
      </c>
      <c r="J35" s="218">
        <f>'Entry Sheet '!G46</f>
        <v>0</v>
      </c>
      <c r="K35" s="218">
        <f>'Entry Sheet '!G48</f>
        <v>0</v>
      </c>
      <c r="L35" s="325">
        <f>+K35+J35</f>
        <v>0</v>
      </c>
      <c r="M35" s="330" t="e">
        <f t="shared" si="15"/>
        <v>#DIV/0!</v>
      </c>
      <c r="N35" s="332" t="e">
        <f t="shared" si="16"/>
        <v>#DIV/0!</v>
      </c>
      <c r="O35" s="334">
        <f t="shared" si="12"/>
        <v>0</v>
      </c>
      <c r="P35" s="332" t="e">
        <f t="shared" si="17"/>
        <v>#DIV/0!</v>
      </c>
    </row>
    <row r="36" spans="2:16" ht="15.75" customHeight="1" thickBot="1">
      <c r="B36" s="848" t="s">
        <v>299</v>
      </c>
      <c r="C36" s="849"/>
      <c r="D36" s="850" t="e">
        <f t="shared" si="13"/>
        <v>#DIV/0!</v>
      </c>
      <c r="E36" s="1" t="s">
        <v>5</v>
      </c>
      <c r="F36" s="324">
        <f>H36*E17</f>
        <v>0</v>
      </c>
      <c r="G36" s="325" t="e">
        <f t="shared" si="14"/>
        <v>#DIV/0!</v>
      </c>
      <c r="H36" s="326">
        <f>+'W1 Forecast'!E25</f>
        <v>1.4999999999999999E-2</v>
      </c>
      <c r="I36" s="219">
        <f>'Entry Sheet '!G35+'Entry Sheet '!G37</f>
        <v>0</v>
      </c>
      <c r="J36" s="218">
        <f>'Entry Sheet '!G34</f>
        <v>0</v>
      </c>
      <c r="K36" s="218">
        <f>'Entry Sheet '!G36</f>
        <v>0</v>
      </c>
      <c r="L36" s="325">
        <f t="shared" si="18"/>
        <v>0</v>
      </c>
      <c r="M36" s="330" t="e">
        <f t="shared" si="15"/>
        <v>#DIV/0!</v>
      </c>
      <c r="N36" s="332" t="e">
        <f t="shared" si="16"/>
        <v>#DIV/0!</v>
      </c>
      <c r="O36" s="334">
        <f t="shared" si="12"/>
        <v>0</v>
      </c>
      <c r="P36" s="332" t="e">
        <f t="shared" si="17"/>
        <v>#DIV/0!</v>
      </c>
    </row>
    <row r="37" spans="2:16" ht="15.75" customHeight="1" thickBot="1">
      <c r="B37" s="851" t="s">
        <v>0</v>
      </c>
      <c r="C37" s="852">
        <f>16932+11553</f>
        <v>28485</v>
      </c>
      <c r="D37" s="853" t="e">
        <f t="shared" si="13"/>
        <v>#DIV/0!</v>
      </c>
      <c r="E37" s="1" t="s">
        <v>162</v>
      </c>
      <c r="F37" s="324">
        <f>H37*E17</f>
        <v>0</v>
      </c>
      <c r="G37" s="325"/>
      <c r="H37" s="326">
        <f>+'W1 Forecast'!E26</f>
        <v>0</v>
      </c>
      <c r="I37" s="219">
        <f>'Entry Sheet '!G43+'Entry Sheet '!G45</f>
        <v>0</v>
      </c>
      <c r="J37" s="218">
        <f>'Entry Sheet '!G42</f>
        <v>0</v>
      </c>
      <c r="K37" s="218">
        <f>'Entry Sheet '!G44</f>
        <v>0</v>
      </c>
      <c r="L37" s="325">
        <f>+K37+J37</f>
        <v>0</v>
      </c>
      <c r="M37" s="330" t="e">
        <f t="shared" si="15"/>
        <v>#DIV/0!</v>
      </c>
      <c r="N37" s="332" t="e">
        <f t="shared" si="16"/>
        <v>#DIV/0!</v>
      </c>
      <c r="O37" s="334">
        <f t="shared" si="12"/>
        <v>0</v>
      </c>
      <c r="P37" s="332">
        <f t="shared" si="17"/>
        <v>0</v>
      </c>
    </row>
    <row r="38" spans="2:16" ht="15.75" customHeight="1" thickBot="1">
      <c r="D38" s="1"/>
      <c r="E38" s="1"/>
      <c r="F38" s="327">
        <f>H38*E17</f>
        <v>0</v>
      </c>
      <c r="G38" s="328">
        <v>0</v>
      </c>
      <c r="H38" s="329">
        <f>+'W1 Forecast'!E27</f>
        <v>0</v>
      </c>
      <c r="I38" s="226"/>
      <c r="J38" s="220"/>
      <c r="K38" s="220"/>
      <c r="L38" s="328">
        <f>+K38+J38</f>
        <v>0</v>
      </c>
      <c r="M38" s="331" t="e">
        <f t="shared" si="15"/>
        <v>#DIV/0!</v>
      </c>
      <c r="N38" s="333" t="e">
        <f t="shared" si="16"/>
        <v>#DIV/0!</v>
      </c>
      <c r="O38" s="335">
        <f t="shared" si="12"/>
        <v>0</v>
      </c>
      <c r="P38" s="333">
        <f t="shared" si="17"/>
        <v>0</v>
      </c>
    </row>
    <row r="39" spans="2:16" s="248" customFormat="1" ht="15.75" customHeight="1" thickBot="1">
      <c r="D39" s="247"/>
      <c r="E39" s="140" t="s">
        <v>6</v>
      </c>
      <c r="F39" s="336">
        <f>SUM(F30:F38)</f>
        <v>0</v>
      </c>
      <c r="G39" s="337" t="e">
        <f>SUM(G31:G38)</f>
        <v>#DIV/0!</v>
      </c>
      <c r="H39" s="338">
        <f>SUM(H30:H38)</f>
        <v>0.11629658634538154</v>
      </c>
      <c r="I39" s="339">
        <f>SUM(I30:I38)</f>
        <v>2788.46</v>
      </c>
      <c r="J39" s="337">
        <f>SUM(J31:J38)</f>
        <v>0</v>
      </c>
      <c r="K39" s="337">
        <f>SUM(K31:K38)</f>
        <v>0</v>
      </c>
      <c r="L39" s="337">
        <f>SUM(L31:L38)</f>
        <v>0</v>
      </c>
      <c r="M39" s="340" t="e">
        <f>+I39/E17</f>
        <v>#DIV/0!</v>
      </c>
      <c r="N39" s="341" t="e">
        <f t="shared" si="16"/>
        <v>#DIV/0!</v>
      </c>
      <c r="O39" s="342">
        <f t="shared" si="12"/>
        <v>2788.46</v>
      </c>
      <c r="P39" s="392" t="e">
        <f t="shared" si="17"/>
        <v>#DIV/0!</v>
      </c>
    </row>
    <row r="40" spans="2:16" ht="15.75" customHeight="1">
      <c r="D40" s="1"/>
      <c r="E40" s="10" t="s">
        <v>16</v>
      </c>
      <c r="F40" s="403">
        <f>H40*E17</f>
        <v>0</v>
      </c>
      <c r="G40" s="245"/>
      <c r="H40" s="409">
        <f>'W3 Forecast'!E29</f>
        <v>2.3246787148594378E-2</v>
      </c>
      <c r="I40" s="410">
        <f>'W1 Forecast'!F29</f>
        <v>2315.38</v>
      </c>
      <c r="J40" s="245"/>
      <c r="K40" s="245"/>
      <c r="L40" s="245"/>
      <c r="M40" s="411" t="e">
        <f>+I40/E17</f>
        <v>#DIV/0!</v>
      </c>
      <c r="N40" s="246"/>
      <c r="O40" s="412">
        <f t="shared" si="12"/>
        <v>2315.38</v>
      </c>
      <c r="P40" s="246"/>
    </row>
    <row r="41" spans="2:16" ht="15.75" customHeight="1">
      <c r="D41" s="1"/>
      <c r="E41" s="1" t="s">
        <v>7</v>
      </c>
      <c r="F41" s="324">
        <f>H41*E17</f>
        <v>0</v>
      </c>
      <c r="G41" s="325" t="e">
        <f t="shared" ref="G41:G47" si="19">F41/N41</f>
        <v>#DIV/0!</v>
      </c>
      <c r="H41" s="326">
        <f>+'W1 Forecast'!E30</f>
        <v>3.2500000000000001E-2</v>
      </c>
      <c r="I41" s="219">
        <f>'Entry Sheet '!G83+'Entry Sheet '!G85+'Entry Sheet '!G91+'Entry Sheet '!G93</f>
        <v>0</v>
      </c>
      <c r="J41" s="218">
        <f>'Entry Sheet '!G82+'Entry Sheet '!G90</f>
        <v>0</v>
      </c>
      <c r="K41" s="218">
        <f>'Entry Sheet '!G84+'Entry Sheet '!G92</f>
        <v>0</v>
      </c>
      <c r="L41" s="325">
        <f t="shared" si="18"/>
        <v>0</v>
      </c>
      <c r="M41" s="330" t="e">
        <f t="shared" ref="M41:M48" si="20">+I41/$E$17</f>
        <v>#DIV/0!</v>
      </c>
      <c r="N41" s="332" t="e">
        <f t="shared" ref="N41:N49" si="21">+I41/L41</f>
        <v>#DIV/0!</v>
      </c>
      <c r="O41" s="334">
        <f t="shared" si="12"/>
        <v>0</v>
      </c>
      <c r="P41" s="332" t="e">
        <f>+L41-G41</f>
        <v>#DIV/0!</v>
      </c>
    </row>
    <row r="42" spans="2:16" ht="15.75" customHeight="1">
      <c r="D42" s="1"/>
      <c r="E42" s="1" t="s">
        <v>8</v>
      </c>
      <c r="F42" s="324">
        <f>H42*E17</f>
        <v>0</v>
      </c>
      <c r="G42" s="325" t="e">
        <f t="shared" si="19"/>
        <v>#DIV/0!</v>
      </c>
      <c r="H42" s="326">
        <f>+'W1 Forecast'!E31</f>
        <v>0.01</v>
      </c>
      <c r="I42" s="219">
        <f>'Entry Sheet '!G75+'Entry Sheet '!G77</f>
        <v>0</v>
      </c>
      <c r="J42" s="218">
        <f>'Entry Sheet '!G74</f>
        <v>0</v>
      </c>
      <c r="K42" s="218">
        <f>'Entry Sheet '!G76</f>
        <v>0</v>
      </c>
      <c r="L42" s="325">
        <f t="shared" si="18"/>
        <v>0</v>
      </c>
      <c r="M42" s="330" t="e">
        <f t="shared" si="20"/>
        <v>#DIV/0!</v>
      </c>
      <c r="N42" s="332" t="e">
        <f t="shared" si="21"/>
        <v>#DIV/0!</v>
      </c>
      <c r="O42" s="334">
        <f t="shared" si="12"/>
        <v>0</v>
      </c>
      <c r="P42" s="332" t="e">
        <f t="shared" ref="P42:P49" si="22">+L42-G42</f>
        <v>#DIV/0!</v>
      </c>
    </row>
    <row r="43" spans="2:16" ht="15.75" customHeight="1">
      <c r="D43" s="1"/>
      <c r="E43" s="1" t="s">
        <v>172</v>
      </c>
      <c r="F43" s="324">
        <f>H43*E17</f>
        <v>0</v>
      </c>
      <c r="G43" s="325" t="e">
        <f t="shared" si="19"/>
        <v>#DIV/0!</v>
      </c>
      <c r="H43" s="326">
        <f>+'W1 Forecast'!E32</f>
        <v>1.7000000000000001E-2</v>
      </c>
      <c r="I43" s="219">
        <f>'Entry Sheet '!G87+'Entry Sheet '!G89</f>
        <v>0</v>
      </c>
      <c r="J43" s="218">
        <f>'Entry Sheet '!G86</f>
        <v>0</v>
      </c>
      <c r="K43" s="218">
        <f>'Entry Sheet '!G88</f>
        <v>0</v>
      </c>
      <c r="L43" s="325">
        <f>+K43+J43</f>
        <v>0</v>
      </c>
      <c r="M43" s="330" t="e">
        <f t="shared" si="20"/>
        <v>#DIV/0!</v>
      </c>
      <c r="N43" s="332" t="e">
        <f t="shared" si="21"/>
        <v>#DIV/0!</v>
      </c>
      <c r="O43" s="334">
        <f t="shared" si="12"/>
        <v>0</v>
      </c>
      <c r="P43" s="332" t="e">
        <f t="shared" si="22"/>
        <v>#DIV/0!</v>
      </c>
    </row>
    <row r="44" spans="2:16" ht="15.75" customHeight="1">
      <c r="D44" s="1"/>
      <c r="E44" s="1" t="s">
        <v>162</v>
      </c>
      <c r="F44" s="324">
        <f>H44*E17</f>
        <v>0</v>
      </c>
      <c r="G44" s="325" t="e">
        <f t="shared" si="19"/>
        <v>#DIV/0!</v>
      </c>
      <c r="H44" s="326"/>
      <c r="I44" s="219">
        <f>'Entry Sheet '!G43+'Entry Sheet '!G45</f>
        <v>0</v>
      </c>
      <c r="J44" s="218">
        <f>'Entry Sheet '!G42</f>
        <v>0</v>
      </c>
      <c r="K44" s="218">
        <f>'Entry Sheet '!G44</f>
        <v>0</v>
      </c>
      <c r="L44" s="325">
        <f>+K44+J44</f>
        <v>0</v>
      </c>
      <c r="M44" s="330" t="e">
        <f t="shared" ref="M44" si="23">+I44/$E$17</f>
        <v>#DIV/0!</v>
      </c>
      <c r="N44" s="332" t="e">
        <f t="shared" ref="N44" si="24">+I44/L44</f>
        <v>#DIV/0!</v>
      </c>
      <c r="O44" s="334">
        <f t="shared" ref="O44" si="25">+I44-F44</f>
        <v>0</v>
      </c>
      <c r="P44" s="332" t="e">
        <f t="shared" ref="P44" si="26">+L44-G44</f>
        <v>#DIV/0!</v>
      </c>
    </row>
    <row r="45" spans="2:16" ht="15.75" customHeight="1">
      <c r="D45" s="1"/>
      <c r="E45" s="1" t="s">
        <v>9</v>
      </c>
      <c r="F45" s="324">
        <f>H45*E17</f>
        <v>0</v>
      </c>
      <c r="G45" s="325" t="e">
        <f t="shared" si="19"/>
        <v>#DIV/0!</v>
      </c>
      <c r="H45" s="326">
        <f>+'W1 Forecast'!E34</f>
        <v>1.0800000000000001E-2</v>
      </c>
      <c r="I45" s="219">
        <f>'Entry Sheet '!G63+'Entry Sheet '!G65</f>
        <v>0</v>
      </c>
      <c r="J45" s="218">
        <f>'Entry Sheet '!G62</f>
        <v>0</v>
      </c>
      <c r="K45" s="218">
        <f>'Entry Sheet '!G64</f>
        <v>0</v>
      </c>
      <c r="L45" s="325">
        <f t="shared" si="18"/>
        <v>0</v>
      </c>
      <c r="M45" s="330" t="e">
        <f t="shared" si="20"/>
        <v>#DIV/0!</v>
      </c>
      <c r="N45" s="332" t="e">
        <f t="shared" si="21"/>
        <v>#DIV/0!</v>
      </c>
      <c r="O45" s="334">
        <f t="shared" si="12"/>
        <v>0</v>
      </c>
      <c r="P45" s="332" t="e">
        <f t="shared" si="22"/>
        <v>#DIV/0!</v>
      </c>
    </row>
    <row r="46" spans="2:16" ht="15.75" customHeight="1">
      <c r="D46" s="1"/>
      <c r="E46" s="1" t="str">
        <f>'W1 Forecast'!B35</f>
        <v>Busser 2:</v>
      </c>
      <c r="F46" s="324">
        <f>H46*E17</f>
        <v>0</v>
      </c>
      <c r="G46" s="325" t="e">
        <f t="shared" si="19"/>
        <v>#DIV/0!</v>
      </c>
      <c r="H46" s="326">
        <f>+'W1 Forecast'!E35</f>
        <v>7.4999999999999997E-3</v>
      </c>
      <c r="I46" s="219">
        <f>'Entry Sheet '!G67+'Entry Sheet '!G69</f>
        <v>0</v>
      </c>
      <c r="J46" s="218">
        <f>'Entry Sheet '!G66</f>
        <v>0</v>
      </c>
      <c r="K46" s="218">
        <f>'Entry Sheet '!G68</f>
        <v>0</v>
      </c>
      <c r="L46" s="325">
        <f t="shared" si="18"/>
        <v>0</v>
      </c>
      <c r="M46" s="330" t="e">
        <f t="shared" si="20"/>
        <v>#DIV/0!</v>
      </c>
      <c r="N46" s="332" t="e">
        <f t="shared" si="21"/>
        <v>#DIV/0!</v>
      </c>
      <c r="O46" s="334">
        <f t="shared" si="12"/>
        <v>0</v>
      </c>
      <c r="P46" s="332" t="e">
        <f t="shared" si="22"/>
        <v>#DIV/0!</v>
      </c>
    </row>
    <row r="47" spans="2:16" ht="15.75" customHeight="1">
      <c r="D47" s="1"/>
      <c r="E47" s="1" t="str">
        <f>'W1 Forecast'!B36</f>
        <v>Busser 1:</v>
      </c>
      <c r="F47" s="324">
        <f>H47*E17</f>
        <v>0</v>
      </c>
      <c r="G47" s="325" t="e">
        <f t="shared" si="19"/>
        <v>#DIV/0!</v>
      </c>
      <c r="H47" s="326">
        <f>+'W1 Forecast'!E36</f>
        <v>4.0000000000000001E-3</v>
      </c>
      <c r="I47" s="219">
        <f>'Entry Sheet '!G79+'Entry Sheet '!G81</f>
        <v>0</v>
      </c>
      <c r="J47" s="218">
        <f>'Entry Sheet '!G78</f>
        <v>0</v>
      </c>
      <c r="K47" s="218">
        <f>'Entry Sheet '!G80</f>
        <v>0</v>
      </c>
      <c r="L47" s="325">
        <f t="shared" si="18"/>
        <v>0</v>
      </c>
      <c r="M47" s="330" t="e">
        <f t="shared" si="20"/>
        <v>#DIV/0!</v>
      </c>
      <c r="N47" s="332" t="e">
        <f t="shared" si="21"/>
        <v>#DIV/0!</v>
      </c>
      <c r="O47" s="334">
        <f t="shared" si="12"/>
        <v>0</v>
      </c>
      <c r="P47" s="332" t="e">
        <f t="shared" si="22"/>
        <v>#DIV/0!</v>
      </c>
    </row>
    <row r="48" spans="2:16" ht="15.75" customHeight="1" thickBot="1">
      <c r="D48" s="1"/>
      <c r="E48" s="1" t="str">
        <f>'W1 Forecast'!B37</f>
        <v>Busser 3:</v>
      </c>
      <c r="F48" s="324">
        <f>H48*E17</f>
        <v>0</v>
      </c>
      <c r="G48" s="325" t="e">
        <f t="shared" ref="G48" si="27">F48/N48</f>
        <v>#DIV/0!</v>
      </c>
      <c r="H48" s="326">
        <f>+'W1 Forecast'!E37</f>
        <v>3.0000000000000001E-3</v>
      </c>
      <c r="I48" s="219">
        <f>'Entry Sheet '!G71+'Entry Sheet '!G73</f>
        <v>0</v>
      </c>
      <c r="J48" s="218">
        <f>'Entry Sheet '!G70</f>
        <v>0</v>
      </c>
      <c r="K48" s="218">
        <f>'Entry Sheet '!G72</f>
        <v>0</v>
      </c>
      <c r="L48" s="325">
        <f t="shared" ref="L48" si="28">+K48+J48</f>
        <v>0</v>
      </c>
      <c r="M48" s="330" t="e">
        <f t="shared" si="20"/>
        <v>#DIV/0!</v>
      </c>
      <c r="N48" s="332" t="e">
        <f t="shared" si="21"/>
        <v>#DIV/0!</v>
      </c>
      <c r="O48" s="334">
        <f t="shared" si="12"/>
        <v>0</v>
      </c>
      <c r="P48" s="332" t="e">
        <f t="shared" si="22"/>
        <v>#DIV/0!</v>
      </c>
    </row>
    <row r="49" spans="4:18" ht="15.75" customHeight="1" thickBot="1">
      <c r="D49" s="1"/>
      <c r="E49" s="10" t="s">
        <v>11</v>
      </c>
      <c r="F49" s="336">
        <f>SUM(F40:F48)</f>
        <v>0</v>
      </c>
      <c r="G49" s="337" t="e">
        <f>SUM(G41:G48)</f>
        <v>#DIV/0!</v>
      </c>
      <c r="H49" s="338">
        <f>SUM(H40:H48)</f>
        <v>0.10804678714859439</v>
      </c>
      <c r="I49" s="339">
        <f>SUM(I40:I48)</f>
        <v>2315.38</v>
      </c>
      <c r="J49" s="337">
        <f>SUM(J41:J48)</f>
        <v>0</v>
      </c>
      <c r="K49" s="337">
        <f>SUM(K41:K48)</f>
        <v>0</v>
      </c>
      <c r="L49" s="337">
        <f>SUM(L41:L48)</f>
        <v>0</v>
      </c>
      <c r="M49" s="343" t="e">
        <f>+I49/E17</f>
        <v>#DIV/0!</v>
      </c>
      <c r="N49" s="341" t="e">
        <f t="shared" si="21"/>
        <v>#DIV/0!</v>
      </c>
      <c r="O49" s="344">
        <f>SUM(O40:O48)</f>
        <v>2315.38</v>
      </c>
      <c r="P49" s="392" t="e">
        <f t="shared" si="22"/>
        <v>#DIV/0!</v>
      </c>
    </row>
    <row r="50" spans="4:18" ht="15.75" customHeight="1" thickBot="1">
      <c r="D50" s="1"/>
      <c r="E50" s="10" t="s">
        <v>0</v>
      </c>
      <c r="F50" s="346">
        <f t="shared" ref="F50:M50" si="29">+F49+F39</f>
        <v>0</v>
      </c>
      <c r="G50" s="347" t="e">
        <f t="shared" si="29"/>
        <v>#DIV/0!</v>
      </c>
      <c r="H50" s="348">
        <f t="shared" si="29"/>
        <v>0.22434337349397593</v>
      </c>
      <c r="I50" s="349">
        <f t="shared" si="29"/>
        <v>5103.84</v>
      </c>
      <c r="J50" s="347">
        <f t="shared" si="29"/>
        <v>0</v>
      </c>
      <c r="K50" s="347">
        <f t="shared" si="29"/>
        <v>0</v>
      </c>
      <c r="L50" s="347">
        <f t="shared" si="29"/>
        <v>0</v>
      </c>
      <c r="M50" s="350" t="e">
        <f t="shared" si="29"/>
        <v>#DIV/0!</v>
      </c>
      <c r="N50" s="351" t="e">
        <f>+I50/L50</f>
        <v>#DIV/0!</v>
      </c>
      <c r="O50" s="352">
        <f>+O49+O39</f>
        <v>5103.84</v>
      </c>
      <c r="P50" s="351" t="e">
        <f>+P49+P39</f>
        <v>#DIV/0!</v>
      </c>
      <c r="R50" s="249"/>
    </row>
    <row r="51" spans="4:18" ht="15.75" customHeight="1">
      <c r="D51" s="1"/>
      <c r="E51" s="65"/>
      <c r="F51" s="122"/>
      <c r="G51" s="122"/>
      <c r="H51" s="122"/>
      <c r="I51" s="123"/>
      <c r="J51" s="58"/>
      <c r="K51" s="57"/>
      <c r="L51" s="56"/>
      <c r="M51" s="57"/>
    </row>
    <row r="52" spans="4:18" ht="15.75" customHeight="1">
      <c r="D52" s="1"/>
      <c r="E52" s="65"/>
      <c r="F52" s="56"/>
      <c r="G52" s="57"/>
      <c r="H52" s="58"/>
      <c r="I52" s="59"/>
      <c r="J52" s="58"/>
      <c r="K52" s="57"/>
      <c r="L52" s="56"/>
      <c r="M52" s="57"/>
    </row>
    <row r="53" spans="4:18" ht="15.75" customHeight="1">
      <c r="D53" s="1"/>
      <c r="E53" s="65"/>
      <c r="F53" s="56"/>
      <c r="G53" s="57"/>
      <c r="H53" s="58"/>
      <c r="I53" s="59"/>
      <c r="J53" s="58"/>
      <c r="K53" s="57"/>
      <c r="L53" s="56"/>
      <c r="M53" s="57"/>
    </row>
    <row r="54" spans="4:18" ht="15.75" customHeight="1">
      <c r="D54" s="1"/>
      <c r="E54" s="65"/>
      <c r="F54" s="56"/>
      <c r="G54" s="57"/>
      <c r="H54" s="58"/>
      <c r="I54" s="59"/>
      <c r="J54" s="58"/>
      <c r="K54" s="57"/>
      <c r="L54" s="56"/>
      <c r="M54" s="57"/>
    </row>
    <row r="55" spans="4:18" ht="15.75" customHeight="1">
      <c r="D55" s="1"/>
      <c r="E55" s="40"/>
      <c r="F55" s="66"/>
      <c r="G55" s="66"/>
      <c r="H55" s="67"/>
      <c r="I55" s="66"/>
      <c r="J55" s="68"/>
      <c r="K55" s="66"/>
      <c r="L55" s="56"/>
      <c r="M55" s="66"/>
    </row>
    <row r="56" spans="4:18" hidden="1">
      <c r="E56" s="926" t="s">
        <v>15</v>
      </c>
      <c r="F56" s="927"/>
      <c r="G56" s="927"/>
      <c r="H56" s="928"/>
      <c r="I56" s="929"/>
      <c r="J56" s="926" t="s">
        <v>62</v>
      </c>
      <c r="K56" s="928"/>
      <c r="L56" s="928"/>
      <c r="M56" s="928"/>
      <c r="N56" s="928"/>
      <c r="O56" s="929"/>
    </row>
    <row r="57" spans="4:18" ht="25.5" hidden="1">
      <c r="E57" s="113" t="s">
        <v>63</v>
      </c>
      <c r="F57" s="69" t="s">
        <v>64</v>
      </c>
      <c r="G57" s="69" t="s">
        <v>2</v>
      </c>
      <c r="H57" s="69" t="s">
        <v>59</v>
      </c>
      <c r="I57" s="70" t="s">
        <v>51</v>
      </c>
      <c r="J57" s="71" t="s">
        <v>65</v>
      </c>
      <c r="K57" s="71" t="s">
        <v>66</v>
      </c>
      <c r="L57" s="69" t="s">
        <v>38</v>
      </c>
      <c r="M57" s="69" t="s">
        <v>12</v>
      </c>
      <c r="N57" s="69" t="s">
        <v>13</v>
      </c>
      <c r="O57" s="72" t="s">
        <v>67</v>
      </c>
    </row>
    <row r="58" spans="4:18" hidden="1">
      <c r="D58" s="1" t="s">
        <v>68</v>
      </c>
      <c r="E58" s="114">
        <v>190</v>
      </c>
      <c r="F58" s="73">
        <v>0</v>
      </c>
      <c r="G58" s="73">
        <f>+E58+F58</f>
        <v>190</v>
      </c>
      <c r="H58" s="73">
        <f>+F58+G58</f>
        <v>190</v>
      </c>
      <c r="I58" s="74">
        <f>+E58-H58</f>
        <v>0</v>
      </c>
      <c r="J58" s="75">
        <f>K58/G58</f>
        <v>13.936842105263159</v>
      </c>
      <c r="K58" s="49">
        <v>2648</v>
      </c>
      <c r="L58" s="76" t="e">
        <f>K58/$E$17</f>
        <v>#DIV/0!</v>
      </c>
      <c r="M58" s="49">
        <f>+K58</f>
        <v>2648</v>
      </c>
      <c r="N58" s="77" t="e">
        <f>+M58/E17</f>
        <v>#DIV/0!</v>
      </c>
      <c r="O58" s="78">
        <f>+K58-M58</f>
        <v>0</v>
      </c>
    </row>
    <row r="59" spans="4:18" hidden="1">
      <c r="D59" s="1" t="s">
        <v>69</v>
      </c>
      <c r="E59" s="114">
        <v>35.01</v>
      </c>
      <c r="F59" s="73">
        <v>0</v>
      </c>
      <c r="G59" s="73">
        <v>35.01</v>
      </c>
      <c r="H59" s="79">
        <v>0</v>
      </c>
      <c r="I59" s="74">
        <v>0</v>
      </c>
      <c r="J59" s="75">
        <v>0</v>
      </c>
      <c r="K59" s="49">
        <v>630.17999999999995</v>
      </c>
      <c r="L59" s="76">
        <v>0</v>
      </c>
      <c r="M59" s="49">
        <f>+J59*H59</f>
        <v>0</v>
      </c>
      <c r="N59" s="77">
        <v>0</v>
      </c>
      <c r="O59" s="80">
        <v>0</v>
      </c>
    </row>
    <row r="60" spans="4:18" hidden="1">
      <c r="D60" s="1" t="s">
        <v>70</v>
      </c>
      <c r="E60" s="114">
        <v>110</v>
      </c>
      <c r="F60" s="73">
        <v>0</v>
      </c>
      <c r="G60" s="73">
        <f>E60+F60</f>
        <v>110</v>
      </c>
      <c r="H60" s="79">
        <f>+M60/J60</f>
        <v>110</v>
      </c>
      <c r="I60" s="74">
        <f>+E60-H60</f>
        <v>0</v>
      </c>
      <c r="J60" s="75">
        <f>K60/G60</f>
        <v>19.40909090909091</v>
      </c>
      <c r="K60" s="49">
        <v>2135</v>
      </c>
      <c r="L60" s="76" t="e">
        <f>K60/$E$17</f>
        <v>#DIV/0!</v>
      </c>
      <c r="M60" s="49">
        <f>+K60</f>
        <v>2135</v>
      </c>
      <c r="N60" s="77" t="e">
        <f>+M60/E17</f>
        <v>#DIV/0!</v>
      </c>
      <c r="O60" s="80">
        <f>+K60-M60</f>
        <v>0</v>
      </c>
    </row>
    <row r="61" spans="4:18" hidden="1">
      <c r="D61" s="1" t="s">
        <v>71</v>
      </c>
      <c r="E61" s="114"/>
      <c r="F61" s="73"/>
      <c r="G61" s="73">
        <f>+E61+F61</f>
        <v>0</v>
      </c>
      <c r="H61" s="79">
        <f>'[3]Schedule Planner - New'!R40</f>
        <v>350.69440124806869</v>
      </c>
      <c r="I61" s="74">
        <f t="shared" ref="I61:I68" si="30">+G61-H61</f>
        <v>-350.69440124806869</v>
      </c>
      <c r="J61" s="75" t="e">
        <f>+K61/G61</f>
        <v>#DIV/0!</v>
      </c>
      <c r="K61" s="49"/>
      <c r="L61" s="76" t="e">
        <f>+K61/E$17</f>
        <v>#DIV/0!</v>
      </c>
      <c r="M61" s="81" t="e">
        <f>+H61*J61</f>
        <v>#DIV/0!</v>
      </c>
      <c r="N61" s="76" t="e">
        <f>+M61/E$17</f>
        <v>#DIV/0!</v>
      </c>
      <c r="O61" s="80" t="e">
        <f>+K61-M61</f>
        <v>#DIV/0!</v>
      </c>
    </row>
    <row r="62" spans="4:18" hidden="1">
      <c r="D62" s="1" t="s">
        <v>72</v>
      </c>
      <c r="E62" s="114"/>
      <c r="F62" s="73"/>
      <c r="G62" s="73">
        <f t="shared" ref="G62:G68" si="31">+E62+F62</f>
        <v>0</v>
      </c>
      <c r="H62" s="79">
        <f>'[3]Schedule Planner - New'!R41</f>
        <v>422.85637871826748</v>
      </c>
      <c r="I62" s="74">
        <f t="shared" si="30"/>
        <v>-422.85637871826748</v>
      </c>
      <c r="J62" s="75" t="e">
        <f t="shared" ref="J62:J75" si="32">+K62/G62</f>
        <v>#DIV/0!</v>
      </c>
      <c r="K62" s="49"/>
      <c r="L62" s="76" t="e">
        <f t="shared" ref="L62:L68" si="33">+K62/E$17</f>
        <v>#DIV/0!</v>
      </c>
      <c r="M62" s="81" t="e">
        <f t="shared" ref="M62:M68" si="34">+H62*J62</f>
        <v>#DIV/0!</v>
      </c>
      <c r="N62" s="76" t="e">
        <f t="shared" ref="N62:N75" si="35">+M62/E$17</f>
        <v>#DIV/0!</v>
      </c>
      <c r="O62" s="80" t="e">
        <f t="shared" ref="O62:O68" si="36">+K62-M62</f>
        <v>#DIV/0!</v>
      </c>
    </row>
    <row r="63" spans="4:18" hidden="1">
      <c r="D63" s="1" t="s">
        <v>73</v>
      </c>
      <c r="E63" s="114"/>
      <c r="F63" s="73"/>
      <c r="G63" s="73">
        <f t="shared" si="31"/>
        <v>0</v>
      </c>
      <c r="H63" s="79">
        <f>'[3]Schedule Planner - New'!R42</f>
        <v>171.87518701457768</v>
      </c>
      <c r="I63" s="74">
        <f t="shared" si="30"/>
        <v>-171.87518701457768</v>
      </c>
      <c r="J63" s="75" t="e">
        <f t="shared" si="32"/>
        <v>#DIV/0!</v>
      </c>
      <c r="K63" s="49"/>
      <c r="L63" s="76" t="e">
        <f t="shared" si="33"/>
        <v>#DIV/0!</v>
      </c>
      <c r="M63" s="81" t="e">
        <f t="shared" si="34"/>
        <v>#DIV/0!</v>
      </c>
      <c r="N63" s="76" t="e">
        <f t="shared" si="35"/>
        <v>#DIV/0!</v>
      </c>
      <c r="O63" s="80" t="e">
        <f t="shared" si="36"/>
        <v>#DIV/0!</v>
      </c>
    </row>
    <row r="64" spans="4:18" hidden="1">
      <c r="D64" s="1" t="s">
        <v>8</v>
      </c>
      <c r="E64" s="114"/>
      <c r="F64" s="73"/>
      <c r="G64" s="73">
        <f t="shared" si="31"/>
        <v>0</v>
      </c>
      <c r="H64" s="79">
        <f>'[3]Schedule Planner - New'!R43</f>
        <v>73.917426115363867</v>
      </c>
      <c r="I64" s="74">
        <f t="shared" si="30"/>
        <v>-73.917426115363867</v>
      </c>
      <c r="J64" s="75" t="e">
        <f t="shared" si="32"/>
        <v>#DIV/0!</v>
      </c>
      <c r="K64" s="49"/>
      <c r="L64" s="76" t="e">
        <f t="shared" si="33"/>
        <v>#DIV/0!</v>
      </c>
      <c r="M64" s="81" t="e">
        <f t="shared" si="34"/>
        <v>#DIV/0!</v>
      </c>
      <c r="N64" s="76" t="e">
        <f t="shared" si="35"/>
        <v>#DIV/0!</v>
      </c>
      <c r="O64" s="80" t="e">
        <f t="shared" si="36"/>
        <v>#DIV/0!</v>
      </c>
    </row>
    <row r="65" spans="4:15" hidden="1">
      <c r="D65" s="1" t="s">
        <v>74</v>
      </c>
      <c r="E65" s="114"/>
      <c r="F65" s="73"/>
      <c r="G65" s="73">
        <f t="shared" si="31"/>
        <v>0</v>
      </c>
      <c r="H65" s="79">
        <f>'[3]Schedule Planner - New'!R44</f>
        <v>81.718958553283159</v>
      </c>
      <c r="I65" s="74">
        <f t="shared" si="30"/>
        <v>-81.718958553283159</v>
      </c>
      <c r="J65" s="75" t="e">
        <f t="shared" si="32"/>
        <v>#DIV/0!</v>
      </c>
      <c r="K65" s="49"/>
      <c r="L65" s="76" t="e">
        <f t="shared" si="33"/>
        <v>#DIV/0!</v>
      </c>
      <c r="M65" s="81" t="e">
        <f t="shared" si="34"/>
        <v>#DIV/0!</v>
      </c>
      <c r="N65" s="76" t="e">
        <f t="shared" si="35"/>
        <v>#DIV/0!</v>
      </c>
      <c r="O65" s="80" t="e">
        <f t="shared" si="36"/>
        <v>#DIV/0!</v>
      </c>
    </row>
    <row r="66" spans="4:15" hidden="1">
      <c r="D66" s="1" t="s">
        <v>9</v>
      </c>
      <c r="E66" s="114"/>
      <c r="F66" s="73"/>
      <c r="G66" s="73">
        <f t="shared" si="31"/>
        <v>0</v>
      </c>
      <c r="H66" s="79">
        <f>'[3]Schedule Planner - New'!R45</f>
        <v>88.081977362304968</v>
      </c>
      <c r="I66" s="74">
        <f t="shared" si="30"/>
        <v>-88.081977362304968</v>
      </c>
      <c r="J66" s="75" t="e">
        <f t="shared" si="32"/>
        <v>#DIV/0!</v>
      </c>
      <c r="K66" s="49"/>
      <c r="L66" s="76" t="e">
        <f t="shared" si="33"/>
        <v>#DIV/0!</v>
      </c>
      <c r="M66" s="81" t="e">
        <f t="shared" si="34"/>
        <v>#DIV/0!</v>
      </c>
      <c r="N66" s="76" t="e">
        <f t="shared" si="35"/>
        <v>#DIV/0!</v>
      </c>
      <c r="O66" s="80" t="e">
        <f t="shared" si="36"/>
        <v>#DIV/0!</v>
      </c>
    </row>
    <row r="67" spans="4:15" hidden="1">
      <c r="D67" s="1" t="s">
        <v>10</v>
      </c>
      <c r="E67" s="114"/>
      <c r="F67" s="73"/>
      <c r="G67" s="73">
        <f t="shared" si="31"/>
        <v>0</v>
      </c>
      <c r="H67" s="79">
        <f>'[3]Schedule Planner - New'!R46</f>
        <v>70.783443543790739</v>
      </c>
      <c r="I67" s="74">
        <f t="shared" si="30"/>
        <v>-70.783443543790739</v>
      </c>
      <c r="J67" s="75" t="e">
        <f t="shared" si="32"/>
        <v>#DIV/0!</v>
      </c>
      <c r="K67" s="49"/>
      <c r="L67" s="76" t="e">
        <f t="shared" si="33"/>
        <v>#DIV/0!</v>
      </c>
      <c r="M67" s="81" t="e">
        <f t="shared" si="34"/>
        <v>#DIV/0!</v>
      </c>
      <c r="N67" s="76" t="e">
        <f t="shared" si="35"/>
        <v>#DIV/0!</v>
      </c>
      <c r="O67" s="80" t="e">
        <f t="shared" si="36"/>
        <v>#DIV/0!</v>
      </c>
    </row>
    <row r="68" spans="4:15" hidden="1">
      <c r="D68" s="1" t="s">
        <v>75</v>
      </c>
      <c r="E68" s="114"/>
      <c r="F68" s="73"/>
      <c r="G68" s="73">
        <f t="shared" si="31"/>
        <v>0</v>
      </c>
      <c r="H68" s="79">
        <f>'[3]Schedule Planner - New'!R47</f>
        <v>32.085123766349717</v>
      </c>
      <c r="I68" s="74">
        <f t="shared" si="30"/>
        <v>-32.085123766349717</v>
      </c>
      <c r="J68" s="75" t="e">
        <f t="shared" si="32"/>
        <v>#DIV/0!</v>
      </c>
      <c r="K68" s="49"/>
      <c r="L68" s="76" t="e">
        <f t="shared" si="33"/>
        <v>#DIV/0!</v>
      </c>
      <c r="M68" s="81" t="e">
        <f t="shared" si="34"/>
        <v>#DIV/0!</v>
      </c>
      <c r="N68" s="76" t="e">
        <f t="shared" si="35"/>
        <v>#DIV/0!</v>
      </c>
      <c r="O68" s="80" t="e">
        <f t="shared" si="36"/>
        <v>#DIV/0!</v>
      </c>
    </row>
    <row r="69" spans="4:15" ht="16.5" hidden="1" customHeight="1">
      <c r="D69" s="1" t="s">
        <v>76</v>
      </c>
      <c r="E69" s="114"/>
      <c r="F69" s="73"/>
      <c r="G69" s="73"/>
      <c r="H69" s="79"/>
      <c r="I69" s="74"/>
      <c r="J69" s="75"/>
      <c r="K69" s="49"/>
      <c r="L69" s="76"/>
      <c r="M69" s="81"/>
      <c r="N69" s="76"/>
      <c r="O69" s="80"/>
    </row>
    <row r="70" spans="4:15" hidden="1">
      <c r="D70" s="1"/>
      <c r="E70" s="114"/>
      <c r="F70" s="73"/>
      <c r="G70" s="73"/>
      <c r="H70" s="79"/>
      <c r="I70" s="74"/>
      <c r="J70" s="75"/>
      <c r="K70" s="49"/>
      <c r="L70" s="76"/>
      <c r="M70" s="81"/>
      <c r="N70" s="76"/>
      <c r="O70" s="80"/>
    </row>
    <row r="71" spans="4:15" hidden="1">
      <c r="D71" s="1"/>
      <c r="E71" s="115"/>
      <c r="F71" s="82"/>
      <c r="G71" s="73"/>
      <c r="H71" s="79"/>
      <c r="I71" s="74"/>
      <c r="J71" s="75"/>
      <c r="K71" s="83"/>
      <c r="L71" s="76"/>
      <c r="M71" s="81"/>
      <c r="N71" s="76"/>
      <c r="O71" s="80"/>
    </row>
    <row r="72" spans="4:15" hidden="1">
      <c r="D72" s="1" t="s">
        <v>0</v>
      </c>
      <c r="E72" s="84">
        <f>SUM(E58:E71)</f>
        <v>335.01</v>
      </c>
      <c r="F72" s="85">
        <f t="shared" ref="F72:O72" si="37">SUM(F58:F71)</f>
        <v>0</v>
      </c>
      <c r="G72" s="85">
        <f t="shared" si="37"/>
        <v>335.01</v>
      </c>
      <c r="H72" s="85">
        <f t="shared" si="37"/>
        <v>1592.0128963220063</v>
      </c>
      <c r="I72" s="85">
        <f t="shared" si="37"/>
        <v>-1292.0128963220063</v>
      </c>
      <c r="J72" s="86">
        <f t="shared" si="32"/>
        <v>16.158263932419928</v>
      </c>
      <c r="K72" s="85">
        <f t="shared" si="37"/>
        <v>5413.18</v>
      </c>
      <c r="L72" s="87" t="e">
        <f>K72/$E$17</f>
        <v>#DIV/0!</v>
      </c>
      <c r="M72" s="85" t="e">
        <f t="shared" si="37"/>
        <v>#DIV/0!</v>
      </c>
      <c r="N72" s="87" t="e">
        <f t="shared" si="35"/>
        <v>#DIV/0!</v>
      </c>
      <c r="O72" s="88" t="e">
        <f t="shared" si="37"/>
        <v>#DIV/0!</v>
      </c>
    </row>
    <row r="73" spans="4:15" hidden="1">
      <c r="D73" s="1" t="s">
        <v>77</v>
      </c>
      <c r="E73" s="89">
        <f>+E58+E62+E64+E66+E67+E68+E69+E70</f>
        <v>190</v>
      </c>
      <c r="F73" s="90">
        <f>+F58+F62+F64+F66+F67+F68+F69+F70</f>
        <v>0</v>
      </c>
      <c r="G73" s="90">
        <f>+G58+G62+G64+G66+G67+G68+G69+G70</f>
        <v>190</v>
      </c>
      <c r="H73" s="90">
        <f>+H58+H62+H64+H66+H67+H68+H69+H70</f>
        <v>877.72434950607692</v>
      </c>
      <c r="I73" s="90">
        <f>+I58+I62+I64+I66+I67+I68+I69+I70</f>
        <v>-687.72434950607681</v>
      </c>
      <c r="J73" s="91">
        <f t="shared" si="32"/>
        <v>13.936842105263159</v>
      </c>
      <c r="K73" s="90">
        <f>+K58+K62+K64+K66+K67+K68+K69+K70</f>
        <v>2648</v>
      </c>
      <c r="L73" s="76" t="e">
        <f>K73/$E$17</f>
        <v>#DIV/0!</v>
      </c>
      <c r="M73" s="90" t="e">
        <f>+M58+M62+M64+M66+M67+M68+M69+M70</f>
        <v>#DIV/0!</v>
      </c>
      <c r="N73" s="76" t="e">
        <f t="shared" si="35"/>
        <v>#DIV/0!</v>
      </c>
      <c r="O73" s="92" t="e">
        <f>+O58+O62+O64+O66+O67+O68+O69+O70</f>
        <v>#DIV/0!</v>
      </c>
    </row>
    <row r="74" spans="4:15" hidden="1">
      <c r="D74" s="1" t="s">
        <v>78</v>
      </c>
      <c r="E74" s="89">
        <f>+E60+E61+E63+E65</f>
        <v>110</v>
      </c>
      <c r="F74" s="90">
        <f>+F60+F61+F63+F65</f>
        <v>0</v>
      </c>
      <c r="G74" s="90">
        <f>+G60+G61+G63+G65</f>
        <v>110</v>
      </c>
      <c r="H74" s="90">
        <f>+H60+H61+H63+H65</f>
        <v>714.28854681592952</v>
      </c>
      <c r="I74" s="90">
        <f>+I60+I61+I63+I65</f>
        <v>-604.28854681592952</v>
      </c>
      <c r="J74" s="91">
        <f t="shared" si="32"/>
        <v>19.40909090909091</v>
      </c>
      <c r="K74" s="90">
        <f>+K60+K61+K63+K65</f>
        <v>2135</v>
      </c>
      <c r="L74" s="76" t="e">
        <f>K74/$E$17</f>
        <v>#DIV/0!</v>
      </c>
      <c r="M74" s="90" t="e">
        <f>+M60+M61+M63+M65</f>
        <v>#DIV/0!</v>
      </c>
      <c r="N74" s="76" t="e">
        <f t="shared" si="35"/>
        <v>#DIV/0!</v>
      </c>
      <c r="O74" s="92" t="e">
        <f>+O60+O61+O63+O65</f>
        <v>#DIV/0!</v>
      </c>
    </row>
    <row r="75" spans="4:15" ht="13.5" hidden="1" thickBot="1">
      <c r="D75" s="1" t="s">
        <v>79</v>
      </c>
      <c r="E75" s="93">
        <f>+E65+E63</f>
        <v>0</v>
      </c>
      <c r="F75" s="94">
        <f>+F65+F63</f>
        <v>0</v>
      </c>
      <c r="G75" s="94">
        <f>+G65+G63</f>
        <v>0</v>
      </c>
      <c r="H75" s="94">
        <f>+H65+H63</f>
        <v>253.59414556786083</v>
      </c>
      <c r="I75" s="94">
        <f>+I65+I63</f>
        <v>-253.59414556786083</v>
      </c>
      <c r="J75" s="95" t="e">
        <f t="shared" si="32"/>
        <v>#DIV/0!</v>
      </c>
      <c r="K75" s="94">
        <f>+K65+K63</f>
        <v>0</v>
      </c>
      <c r="L75" s="96" t="e">
        <f>K75/$E$17</f>
        <v>#DIV/0!</v>
      </c>
      <c r="M75" s="94" t="e">
        <f>+M65+M63</f>
        <v>#DIV/0!</v>
      </c>
      <c r="N75" s="96" t="e">
        <f t="shared" si="35"/>
        <v>#DIV/0!</v>
      </c>
      <c r="O75" s="97" t="e">
        <f>+O65+O63</f>
        <v>#DIV/0!</v>
      </c>
    </row>
    <row r="77" spans="4:15">
      <c r="L77" s="38" t="s">
        <v>19</v>
      </c>
    </row>
    <row r="126" ht="3.75" customHeight="1"/>
    <row r="134" ht="5.25" customHeight="1"/>
    <row r="142" ht="3.75" customHeight="1"/>
    <row r="143" ht="15" customHeight="1"/>
    <row r="150" ht="3.75" customHeight="1"/>
  </sheetData>
  <mergeCells count="14">
    <mergeCell ref="G1:H1"/>
    <mergeCell ref="E4:F4"/>
    <mergeCell ref="E5:F5"/>
    <mergeCell ref="E2:J2"/>
    <mergeCell ref="E56:I56"/>
    <mergeCell ref="J56:O56"/>
    <mergeCell ref="B29:D29"/>
    <mergeCell ref="B9:C9"/>
    <mergeCell ref="E9:G9"/>
    <mergeCell ref="H9:M9"/>
    <mergeCell ref="N9:Q9"/>
    <mergeCell ref="F28:H28"/>
    <mergeCell ref="I28:N28"/>
    <mergeCell ref="O28:P28"/>
  </mergeCells>
  <phoneticPr fontId="0" type="noConversion"/>
  <pageMargins left="0.14000000000000001" right="0.14000000000000001" top="0.15" bottom="0.18" header="0.15" footer="0.15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62"/>
  <sheetViews>
    <sheetView topLeftCell="A10" workbookViewId="0">
      <selection activeCell="C2" sqref="C2:D2"/>
    </sheetView>
  </sheetViews>
  <sheetFormatPr defaultColWidth="9.140625" defaultRowHeight="15"/>
  <sheetData>
    <row r="1" spans="2:12" ht="15.75" thickBot="1"/>
    <row r="2" spans="2:12" ht="15.75" thickBot="1">
      <c r="B2" s="1" t="s">
        <v>20</v>
      </c>
      <c r="C2" s="901" t="s">
        <v>226</v>
      </c>
      <c r="D2" s="902"/>
    </row>
    <row r="3" spans="2:12" ht="15.75" thickBot="1">
      <c r="B3" s="1" t="s">
        <v>44</v>
      </c>
      <c r="C3" s="903">
        <f>'W3 Forecast'!J14</f>
        <v>44241</v>
      </c>
      <c r="D3" s="904"/>
    </row>
    <row r="4" spans="2:12" ht="15.75" thickBot="1">
      <c r="B4" s="430" t="s">
        <v>21</v>
      </c>
      <c r="C4" s="476">
        <f>'W3 Cost &amp; Sales '!D6</f>
        <v>2</v>
      </c>
      <c r="D4" s="475" t="s">
        <v>87</v>
      </c>
      <c r="E4" s="477">
        <f>'W3 Cost &amp; Sales '!F6</f>
        <v>3</v>
      </c>
    </row>
    <row r="5" spans="2:12" ht="15.75" thickBot="1"/>
    <row r="6" spans="2:12" ht="15.75">
      <c r="B6" s="431" t="s">
        <v>227</v>
      </c>
      <c r="C6" s="480"/>
      <c r="D6" s="429" t="s">
        <v>1</v>
      </c>
      <c r="E6" s="481"/>
      <c r="F6" s="479" t="s">
        <v>49</v>
      </c>
      <c r="G6" s="429" t="s">
        <v>51</v>
      </c>
      <c r="H6" s="428"/>
      <c r="I6" s="428"/>
      <c r="J6" s="428"/>
      <c r="K6" s="428"/>
      <c r="L6" s="428"/>
    </row>
    <row r="7" spans="2:12">
      <c r="B7" s="19" t="s">
        <v>29</v>
      </c>
      <c r="C7" s="482"/>
      <c r="D7" s="432">
        <f>'W3 Forecast'!I20</f>
        <v>64879.439999999995</v>
      </c>
      <c r="E7" s="7"/>
      <c r="F7" s="483">
        <f>'W3 Cost &amp; Sales '!H11</f>
        <v>3298.03</v>
      </c>
      <c r="G7" s="484">
        <f>F7-D7</f>
        <v>-61581.409999999996</v>
      </c>
    </row>
    <row r="8" spans="2:12">
      <c r="B8" s="19" t="s">
        <v>24</v>
      </c>
      <c r="C8" s="482"/>
      <c r="D8" s="432">
        <f>'W3 Forecast'!I21</f>
        <v>10288.68</v>
      </c>
      <c r="E8" s="7"/>
      <c r="F8" s="483">
        <f>'W3 Cost &amp; Sales '!H12</f>
        <v>14304.32</v>
      </c>
      <c r="G8" s="484">
        <f t="shared" ref="G8:G11" si="0">F8-D8</f>
        <v>4015.6399999999994</v>
      </c>
    </row>
    <row r="9" spans="2:12">
      <c r="B9" s="19" t="s">
        <v>25</v>
      </c>
      <c r="C9" s="482"/>
      <c r="D9" s="432">
        <f>'W3 Forecast'!I22</f>
        <v>4830.6000000000004</v>
      </c>
      <c r="E9" s="7"/>
      <c r="F9" s="483">
        <f>'W3 Cost &amp; Sales '!H13</f>
        <v>2641.15</v>
      </c>
      <c r="G9" s="484">
        <f t="shared" si="0"/>
        <v>-2189.4500000000003</v>
      </c>
    </row>
    <row r="10" spans="2:12">
      <c r="B10" s="19" t="s">
        <v>26</v>
      </c>
      <c r="C10" s="482"/>
      <c r="D10" s="432">
        <f>'W3 Forecast'!I23</f>
        <v>16772.64</v>
      </c>
      <c r="E10" s="7"/>
      <c r="F10" s="483">
        <f>'W3 Cost &amp; Sales '!H14</f>
        <v>17174.150000000001</v>
      </c>
      <c r="G10" s="484">
        <f t="shared" si="0"/>
        <v>401.51000000000204</v>
      </c>
    </row>
    <row r="11" spans="2:12" ht="15.75" thickBot="1">
      <c r="B11" s="19" t="s">
        <v>85</v>
      </c>
      <c r="C11" s="482"/>
      <c r="D11" s="518">
        <f>'W3 Forecast'!I24</f>
        <v>2828.6400000000003</v>
      </c>
      <c r="E11" s="7"/>
      <c r="F11" s="534">
        <f>'W3 Cost &amp; Sales '!H15</f>
        <v>1383.74</v>
      </c>
      <c r="G11" s="461">
        <f t="shared" si="0"/>
        <v>-1444.9000000000003</v>
      </c>
    </row>
    <row r="12" spans="2:12">
      <c r="B12" s="430" t="s">
        <v>0</v>
      </c>
      <c r="C12" s="485"/>
      <c r="D12" s="531">
        <f>SUM(D7:D11)</f>
        <v>99600</v>
      </c>
      <c r="E12" s="486"/>
      <c r="F12" s="532">
        <f>SUM(F7:F11)</f>
        <v>38801.39</v>
      </c>
      <c r="G12" s="533">
        <f>SUM(G7:G11)</f>
        <v>-60798.609999999993</v>
      </c>
      <c r="H12" s="428"/>
      <c r="I12" s="428"/>
      <c r="J12" s="428"/>
      <c r="K12" s="428"/>
      <c r="L12" s="428"/>
    </row>
    <row r="13" spans="2:12" ht="15.75" thickBot="1">
      <c r="C13" s="433"/>
      <c r="D13" s="8"/>
      <c r="E13" s="7"/>
      <c r="G13" s="8"/>
    </row>
    <row r="14" spans="2:12" ht="15.75">
      <c r="B14" s="431" t="s">
        <v>228</v>
      </c>
      <c r="C14" s="434" t="s">
        <v>13</v>
      </c>
      <c r="D14" s="429" t="s">
        <v>12</v>
      </c>
      <c r="E14" s="478" t="s">
        <v>229</v>
      </c>
      <c r="F14" s="487" t="s">
        <v>230</v>
      </c>
      <c r="G14" s="429" t="s">
        <v>51</v>
      </c>
      <c r="H14" s="428"/>
      <c r="I14" s="428"/>
      <c r="J14" s="428"/>
      <c r="K14" s="428"/>
      <c r="L14" s="428"/>
    </row>
    <row r="15" spans="2:12">
      <c r="B15" s="19" t="s">
        <v>29</v>
      </c>
      <c r="C15" s="488">
        <f>'W1 Forecast'!L20</f>
        <v>0.32</v>
      </c>
      <c r="D15" s="432">
        <f>F7*C15</f>
        <v>1055.3696</v>
      </c>
      <c r="E15" s="489">
        <f>'W3 Cost &amp; Sales '!H11</f>
        <v>3298.03</v>
      </c>
      <c r="F15" s="490">
        <f>E15/F7</f>
        <v>1</v>
      </c>
      <c r="G15" s="484">
        <f>E15-D15</f>
        <v>2242.6604000000002</v>
      </c>
      <c r="J15" s="36"/>
      <c r="K15" s="36"/>
      <c r="L15" s="36"/>
    </row>
    <row r="16" spans="2:12">
      <c r="B16" s="19" t="s">
        <v>24</v>
      </c>
      <c r="C16" s="488">
        <f>'W1 Forecast'!L21</f>
        <v>0.17</v>
      </c>
      <c r="D16" s="432">
        <f t="shared" ref="D16:D19" si="1">F8*C16</f>
        <v>2431.7344000000003</v>
      </c>
      <c r="E16" s="489">
        <f>'W3 Cost &amp; Sales '!H12</f>
        <v>14304.32</v>
      </c>
      <c r="F16" s="490">
        <f t="shared" ref="F16:F19" si="2">E16/F8</f>
        <v>1</v>
      </c>
      <c r="G16" s="484">
        <f t="shared" ref="G16:G19" si="3">E16-D16</f>
        <v>11872.585599999999</v>
      </c>
      <c r="J16" s="36"/>
      <c r="K16" s="36"/>
    </row>
    <row r="17" spans="2:11">
      <c r="B17" s="19" t="s">
        <v>25</v>
      </c>
      <c r="C17" s="488">
        <f>'W1 Forecast'!L22</f>
        <v>0.19</v>
      </c>
      <c r="D17" s="432">
        <f t="shared" si="1"/>
        <v>501.81850000000003</v>
      </c>
      <c r="E17" s="489">
        <f>'W3 Cost &amp; Sales '!H13</f>
        <v>2641.15</v>
      </c>
      <c r="F17" s="490">
        <f t="shared" si="2"/>
        <v>1</v>
      </c>
      <c r="G17" s="484">
        <f t="shared" si="3"/>
        <v>2139.3315000000002</v>
      </c>
      <c r="J17" s="36"/>
      <c r="K17" s="36"/>
    </row>
    <row r="18" spans="2:11">
      <c r="B18" s="19" t="s">
        <v>26</v>
      </c>
      <c r="C18" s="488">
        <f>'W1 Forecast'!L23</f>
        <v>0.23</v>
      </c>
      <c r="D18" s="432">
        <f t="shared" si="1"/>
        <v>3950.0545000000006</v>
      </c>
      <c r="E18" s="489">
        <f>'W3 Cost &amp; Sales '!H14</f>
        <v>17174.150000000001</v>
      </c>
      <c r="F18" s="490">
        <f t="shared" si="2"/>
        <v>1</v>
      </c>
      <c r="G18" s="484">
        <f t="shared" si="3"/>
        <v>13224.095500000001</v>
      </c>
      <c r="J18" s="36"/>
      <c r="K18" s="36"/>
    </row>
    <row r="19" spans="2:11" ht="15.75" thickBot="1">
      <c r="B19" s="19" t="s">
        <v>85</v>
      </c>
      <c r="C19" s="504">
        <f>'W1 Forecast'!L24</f>
        <v>0.12</v>
      </c>
      <c r="D19" s="518">
        <f t="shared" si="1"/>
        <v>166.0488</v>
      </c>
      <c r="E19" s="523">
        <f>'W3 Cost &amp; Sales '!H15</f>
        <v>1383.74</v>
      </c>
      <c r="F19" s="524">
        <f t="shared" si="2"/>
        <v>1</v>
      </c>
      <c r="G19" s="461">
        <f t="shared" si="3"/>
        <v>1217.6912</v>
      </c>
      <c r="J19" s="36"/>
      <c r="K19" s="36"/>
    </row>
    <row r="20" spans="2:11" ht="15.75" thickBot="1">
      <c r="B20" s="430" t="s">
        <v>0</v>
      </c>
      <c r="C20" s="462">
        <f>D20/F12</f>
        <v>0.20888493427683907</v>
      </c>
      <c r="D20" s="502">
        <f>SUM(D15:D19)</f>
        <v>8105.0258000000003</v>
      </c>
      <c r="E20" s="521">
        <f>SUM(E15:E19)</f>
        <v>38801.39</v>
      </c>
      <c r="F20" s="522">
        <f>E20/F12</f>
        <v>1</v>
      </c>
      <c r="G20" s="441">
        <f>SUM(G15:G19)</f>
        <v>30696.364200000004</v>
      </c>
      <c r="H20" s="428"/>
      <c r="I20" s="428"/>
      <c r="J20" s="428"/>
      <c r="K20" s="493"/>
    </row>
    <row r="21" spans="2:11" ht="15.75" thickBot="1">
      <c r="C21" s="433"/>
      <c r="D21" s="8"/>
      <c r="E21" s="7"/>
      <c r="F21" s="449"/>
      <c r="G21" s="8"/>
    </row>
    <row r="22" spans="2:11" ht="15.75">
      <c r="B22" s="431" t="s">
        <v>201</v>
      </c>
      <c r="C22" s="434" t="s">
        <v>13</v>
      </c>
      <c r="D22" s="429" t="s">
        <v>12</v>
      </c>
      <c r="E22" s="478" t="s">
        <v>229</v>
      </c>
      <c r="F22" s="487" t="s">
        <v>230</v>
      </c>
      <c r="G22" s="429" t="s">
        <v>51</v>
      </c>
      <c r="H22" s="428"/>
      <c r="I22" s="428"/>
      <c r="J22" s="428"/>
      <c r="K22" s="428"/>
    </row>
    <row r="23" spans="2:11">
      <c r="B23" s="19" t="s">
        <v>202</v>
      </c>
      <c r="C23" s="488">
        <f>'W1 Forecast'!C47</f>
        <v>5.0000000000000001E-4</v>
      </c>
      <c r="D23" s="432">
        <f>$F$12*C23</f>
        <v>19.400694999999999</v>
      </c>
      <c r="E23" s="505"/>
      <c r="F23" s="490">
        <f>E23/$F$12</f>
        <v>0</v>
      </c>
      <c r="G23" s="484">
        <f>E23-D23</f>
        <v>-19.400694999999999</v>
      </c>
      <c r="H23" s="428"/>
      <c r="I23" s="428"/>
      <c r="J23" s="452"/>
      <c r="K23" s="428"/>
    </row>
    <row r="24" spans="2:11">
      <c r="B24" s="19" t="s">
        <v>203</v>
      </c>
      <c r="C24" s="488">
        <f>'W1 Forecast'!C48</f>
        <v>0</v>
      </c>
      <c r="D24" s="432">
        <f t="shared" ref="D24:D30" si="4">$F$12*C24</f>
        <v>0</v>
      </c>
      <c r="E24" s="505"/>
      <c r="F24" s="490">
        <f t="shared" ref="F24:F31" si="5">E24/$F$12</f>
        <v>0</v>
      </c>
      <c r="G24" s="484">
        <f t="shared" ref="G24:G30" si="6">E24-D24</f>
        <v>0</v>
      </c>
      <c r="H24" s="428"/>
      <c r="I24" s="428"/>
      <c r="J24" s="428"/>
      <c r="K24" s="428"/>
    </row>
    <row r="25" spans="2:11">
      <c r="B25" s="19" t="s">
        <v>204</v>
      </c>
      <c r="C25" s="488">
        <f>'W1 Forecast'!C49</f>
        <v>3.7000000000000002E-3</v>
      </c>
      <c r="D25" s="432">
        <f t="shared" si="4"/>
        <v>143.56514300000001</v>
      </c>
      <c r="E25" s="505"/>
      <c r="F25" s="490">
        <f t="shared" si="5"/>
        <v>0</v>
      </c>
      <c r="G25" s="484">
        <f t="shared" si="6"/>
        <v>-143.56514300000001</v>
      </c>
      <c r="H25" s="428"/>
      <c r="I25" s="428"/>
      <c r="J25" s="428"/>
      <c r="K25" s="428"/>
    </row>
    <row r="26" spans="2:11">
      <c r="B26" s="19" t="s">
        <v>231</v>
      </c>
      <c r="C26" s="488">
        <f>'W1 Forecast'!C50</f>
        <v>3.5999999999999999E-3</v>
      </c>
      <c r="D26" s="432">
        <f t="shared" si="4"/>
        <v>139.68500399999999</v>
      </c>
      <c r="E26" s="505"/>
      <c r="F26" s="490">
        <f t="shared" si="5"/>
        <v>0</v>
      </c>
      <c r="G26" s="484">
        <f t="shared" si="6"/>
        <v>-139.68500399999999</v>
      </c>
      <c r="H26" s="428"/>
      <c r="I26" s="428"/>
      <c r="J26" s="428"/>
      <c r="K26" s="428"/>
    </row>
    <row r="27" spans="2:11">
      <c r="B27" s="19" t="s">
        <v>206</v>
      </c>
      <c r="C27" s="488">
        <f>'W1 Forecast'!C51</f>
        <v>4.4000000000000003E-3</v>
      </c>
      <c r="D27" s="432">
        <f t="shared" si="4"/>
        <v>170.72611600000002</v>
      </c>
      <c r="E27" s="505"/>
      <c r="F27" s="490">
        <f t="shared" si="5"/>
        <v>0</v>
      </c>
      <c r="G27" s="484">
        <f t="shared" si="6"/>
        <v>-170.72611600000002</v>
      </c>
      <c r="H27" s="428"/>
      <c r="I27" s="428"/>
      <c r="J27" s="428"/>
      <c r="K27" s="428"/>
    </row>
    <row r="28" spans="2:11">
      <c r="B28" s="19" t="s">
        <v>207</v>
      </c>
      <c r="C28" s="488">
        <f>'W1 Forecast'!C52</f>
        <v>3.5000000000000001E-3</v>
      </c>
      <c r="D28" s="432">
        <f t="shared" si="4"/>
        <v>135.80486500000001</v>
      </c>
      <c r="E28" s="505"/>
      <c r="F28" s="490">
        <f t="shared" si="5"/>
        <v>0</v>
      </c>
      <c r="G28" s="484">
        <f t="shared" si="6"/>
        <v>-135.80486500000001</v>
      </c>
    </row>
    <row r="29" spans="2:11">
      <c r="B29" s="19" t="s">
        <v>208</v>
      </c>
      <c r="C29" s="488">
        <f>'W1 Forecast'!C62</f>
        <v>3.0000000000000001E-3</v>
      </c>
      <c r="D29" s="432">
        <f t="shared" si="4"/>
        <v>116.40417000000001</v>
      </c>
      <c r="E29" s="505"/>
      <c r="F29" s="490">
        <f t="shared" si="5"/>
        <v>0</v>
      </c>
      <c r="G29" s="484">
        <f t="shared" si="6"/>
        <v>-116.40417000000001</v>
      </c>
    </row>
    <row r="30" spans="2:11" ht="15.75" thickBot="1">
      <c r="B30" s="19" t="s">
        <v>209</v>
      </c>
      <c r="C30" s="504">
        <f>'W1 Forecast'!C63</f>
        <v>5.0000000000000001E-4</v>
      </c>
      <c r="D30" s="518">
        <f t="shared" si="4"/>
        <v>19.400694999999999</v>
      </c>
      <c r="E30" s="525"/>
      <c r="F30" s="524">
        <f t="shared" si="5"/>
        <v>0</v>
      </c>
      <c r="G30" s="461">
        <f t="shared" si="6"/>
        <v>-19.400694999999999</v>
      </c>
    </row>
    <row r="31" spans="2:11" ht="15.75" thickBot="1">
      <c r="B31" s="430" t="s">
        <v>0</v>
      </c>
      <c r="C31" s="462">
        <f>D31/F12</f>
        <v>1.9200000000000005E-2</v>
      </c>
      <c r="D31" s="441">
        <f>SUM(D23:D30)</f>
        <v>744.98668800000019</v>
      </c>
      <c r="E31" s="521">
        <f>SUM(E23:E30)</f>
        <v>0</v>
      </c>
      <c r="F31" s="474">
        <f t="shared" si="5"/>
        <v>0</v>
      </c>
      <c r="G31" s="441">
        <f>SUM(G23:G30)</f>
        <v>-744.98668800000019</v>
      </c>
      <c r="H31" s="428"/>
      <c r="I31" s="428"/>
      <c r="J31" s="428"/>
      <c r="K31" s="428"/>
    </row>
    <row r="32" spans="2:11" ht="15.75" thickBot="1">
      <c r="C32" s="433"/>
      <c r="D32" s="8"/>
      <c r="E32" s="494"/>
      <c r="F32" s="449"/>
      <c r="G32" s="8"/>
    </row>
    <row r="33" spans="1:13">
      <c r="B33" s="19" t="s">
        <v>210</v>
      </c>
      <c r="C33" s="473">
        <f>'W1 Forecast'!C66</f>
        <v>1.04E-2</v>
      </c>
      <c r="D33" s="535">
        <f>$F$12*C33</f>
        <v>403.53445599999998</v>
      </c>
      <c r="E33" s="536"/>
      <c r="F33" s="539">
        <f>E33/$F$12</f>
        <v>0</v>
      </c>
      <c r="G33" s="540">
        <f>E33-D33</f>
        <v>-403.53445599999998</v>
      </c>
    </row>
    <row r="34" spans="1:13">
      <c r="B34" s="19" t="s">
        <v>211</v>
      </c>
      <c r="C34" s="436">
        <f>'W1 Forecast'!C67</f>
        <v>7.4999999999999997E-3</v>
      </c>
      <c r="D34" s="432">
        <f t="shared" ref="D34:D36" si="7">$F$12*C34</f>
        <v>291.010425</v>
      </c>
      <c r="E34" s="471"/>
      <c r="F34" s="490">
        <f t="shared" ref="F34:F36" si="8">E34/$F$12</f>
        <v>0</v>
      </c>
      <c r="G34" s="484">
        <f t="shared" ref="G34:G36" si="9">E34-D34</f>
        <v>-291.010425</v>
      </c>
    </row>
    <row r="35" spans="1:13">
      <c r="B35" s="19" t="s">
        <v>212</v>
      </c>
      <c r="C35" s="436">
        <f>'W1 Forecast'!C68</f>
        <v>1.3899999999999999E-2</v>
      </c>
      <c r="D35" s="432">
        <f t="shared" si="7"/>
        <v>539.33932099999993</v>
      </c>
      <c r="E35" s="471"/>
      <c r="F35" s="490">
        <f t="shared" si="8"/>
        <v>0</v>
      </c>
      <c r="G35" s="484">
        <f t="shared" si="9"/>
        <v>-539.33932099999993</v>
      </c>
    </row>
    <row r="36" spans="1:13" ht="15.75" thickBot="1">
      <c r="B36" s="19" t="s">
        <v>213</v>
      </c>
      <c r="C36" s="503">
        <f>'W1 Forecast'!C69</f>
        <v>0.04</v>
      </c>
      <c r="D36" s="518">
        <f t="shared" si="7"/>
        <v>1552.0555999999999</v>
      </c>
      <c r="E36" s="537">
        <f>D36</f>
        <v>1552.0555999999999</v>
      </c>
      <c r="F36" s="524">
        <f t="shared" si="8"/>
        <v>0.04</v>
      </c>
      <c r="G36" s="461">
        <f t="shared" si="9"/>
        <v>0</v>
      </c>
    </row>
    <row r="37" spans="1:13" ht="15.75" thickBot="1">
      <c r="A37" s="428"/>
      <c r="B37" s="430" t="s">
        <v>214</v>
      </c>
      <c r="C37" s="462">
        <f>D37/F12</f>
        <v>7.1800000000000003E-2</v>
      </c>
      <c r="D37" s="502">
        <f>SUM(D33:D36)</f>
        <v>2785.9398019999999</v>
      </c>
      <c r="E37" s="538">
        <f>SUM(E33:E36)</f>
        <v>1552.0555999999999</v>
      </c>
      <c r="F37" s="522">
        <f>E37/F12</f>
        <v>0.04</v>
      </c>
      <c r="G37" s="441">
        <f>SUM(G33:G36)</f>
        <v>-1233.884202</v>
      </c>
      <c r="H37" s="428"/>
      <c r="I37" s="428"/>
      <c r="J37" s="428"/>
      <c r="K37" s="428"/>
      <c r="L37" s="428"/>
      <c r="M37" s="428"/>
    </row>
    <row r="38" spans="1:13" ht="15.75" thickBot="1">
      <c r="C38" s="433"/>
      <c r="D38" s="8"/>
      <c r="E38" s="7"/>
      <c r="F38" s="449"/>
      <c r="G38" s="8"/>
      <c r="M38" s="449"/>
    </row>
    <row r="39" spans="1:13" ht="15.75">
      <c r="A39" s="428"/>
      <c r="B39" s="431" t="s">
        <v>215</v>
      </c>
      <c r="C39" s="434" t="s">
        <v>13</v>
      </c>
      <c r="D39" s="429" t="s">
        <v>12</v>
      </c>
      <c r="E39" s="478" t="s">
        <v>229</v>
      </c>
      <c r="F39" s="487" t="s">
        <v>230</v>
      </c>
      <c r="G39" s="429" t="s">
        <v>51</v>
      </c>
      <c r="H39" s="428"/>
      <c r="I39" s="428"/>
      <c r="J39" s="428"/>
      <c r="K39" s="428"/>
      <c r="L39" s="428"/>
      <c r="M39" s="428"/>
    </row>
    <row r="40" spans="1:13">
      <c r="B40" s="19" t="s">
        <v>216</v>
      </c>
      <c r="C40" s="436">
        <f>D40/F12</f>
        <v>5.0184349065845325E-2</v>
      </c>
      <c r="D40" s="506">
        <f>'W1 Forecast'!D73</f>
        <v>1947.2225000000001</v>
      </c>
      <c r="E40" s="507">
        <f>D40</f>
        <v>1947.2225000000001</v>
      </c>
      <c r="F40" s="490">
        <f>E40/$F$12</f>
        <v>5.0184349065845325E-2</v>
      </c>
      <c r="G40" s="484">
        <f>E40-D40</f>
        <v>0</v>
      </c>
      <c r="J40" s="450"/>
      <c r="K40" s="496"/>
      <c r="L40" s="496"/>
      <c r="M40" s="449"/>
    </row>
    <row r="41" spans="1:13">
      <c r="B41" s="19" t="s">
        <v>17</v>
      </c>
      <c r="C41" s="436">
        <f>D41/F12</f>
        <v>7.1864951229839963E-2</v>
      </c>
      <c r="D41" s="506">
        <f>'W3 Cost &amp; Sales '!I30</f>
        <v>2788.46</v>
      </c>
      <c r="E41" s="507">
        <f>D41</f>
        <v>2788.46</v>
      </c>
      <c r="F41" s="490">
        <f t="shared" ref="F41:F46" si="10">E41/$F$12</f>
        <v>7.1864951229839963E-2</v>
      </c>
      <c r="G41" s="484">
        <f t="shared" ref="G41:G46" si="11">E41-D41</f>
        <v>0</v>
      </c>
      <c r="J41" s="450"/>
    </row>
    <row r="42" spans="1:13">
      <c r="B42" s="19" t="s">
        <v>217</v>
      </c>
      <c r="C42" s="436">
        <f>'W1 Forecast'!C75</f>
        <v>8.8300000000000003E-2</v>
      </c>
      <c r="D42" s="432">
        <f>F12*C42</f>
        <v>3426.1627370000001</v>
      </c>
      <c r="E42" s="508">
        <f>SUM('W3 Cost &amp; Sales '!I31:I38)</f>
        <v>0</v>
      </c>
      <c r="F42" s="490">
        <f t="shared" si="10"/>
        <v>0</v>
      </c>
      <c r="G42" s="484">
        <f t="shared" si="11"/>
        <v>-3426.1627370000001</v>
      </c>
      <c r="J42" s="450"/>
      <c r="M42" s="497"/>
    </row>
    <row r="43" spans="1:13">
      <c r="B43" s="19" t="s">
        <v>16</v>
      </c>
      <c r="C43" s="436">
        <f>D43/F12</f>
        <v>5.967260451236412E-2</v>
      </c>
      <c r="D43" s="506">
        <f>'W3 Cost &amp; Sales '!I40</f>
        <v>2315.38</v>
      </c>
      <c r="E43" s="507">
        <f>D43</f>
        <v>2315.38</v>
      </c>
      <c r="F43" s="490">
        <f t="shared" si="10"/>
        <v>5.967260451236412E-2</v>
      </c>
      <c r="G43" s="484">
        <f t="shared" si="11"/>
        <v>0</v>
      </c>
      <c r="J43" s="450"/>
    </row>
    <row r="44" spans="1:13">
      <c r="B44" s="19" t="s">
        <v>218</v>
      </c>
      <c r="C44" s="436">
        <f>'W1 Forecast'!C77</f>
        <v>8.4800000000000014E-2</v>
      </c>
      <c r="D44" s="432">
        <f>F12*C44</f>
        <v>3290.3578720000005</v>
      </c>
      <c r="E44" s="508">
        <f>SUM('W3 Cost &amp; Sales '!I41:I48)</f>
        <v>0</v>
      </c>
      <c r="F44" s="490">
        <f t="shared" si="10"/>
        <v>0</v>
      </c>
      <c r="G44" s="484">
        <f t="shared" si="11"/>
        <v>-3290.3578720000005</v>
      </c>
      <c r="J44" s="450"/>
    </row>
    <row r="45" spans="1:13">
      <c r="B45" s="19" t="s">
        <v>219</v>
      </c>
      <c r="C45" s="436">
        <f>D45/F12</f>
        <v>0</v>
      </c>
      <c r="D45" s="506">
        <f>'W1 Forecast'!D78</f>
        <v>0</v>
      </c>
      <c r="E45" s="507">
        <f>D45</f>
        <v>0</v>
      </c>
      <c r="F45" s="490">
        <f t="shared" si="10"/>
        <v>0</v>
      </c>
      <c r="G45" s="484">
        <f t="shared" si="11"/>
        <v>0</v>
      </c>
    </row>
    <row r="46" spans="1:13" ht="15.75" thickBot="1">
      <c r="A46" s="520">
        <f>'W1 Forecast'!F79</f>
        <v>0.2525</v>
      </c>
      <c r="B46" s="19" t="s">
        <v>220</v>
      </c>
      <c r="C46" s="503">
        <f>D46/F12</f>
        <v>8.9592530964032469E-2</v>
      </c>
      <c r="D46" s="461">
        <f>SUM(D40:D44)*A46</f>
        <v>3476.3147350224999</v>
      </c>
      <c r="E46" s="528">
        <f>SUM(E40:E44)*A46</f>
        <v>1780.39328125</v>
      </c>
      <c r="F46" s="524">
        <f t="shared" si="10"/>
        <v>4.5884780964032472E-2</v>
      </c>
      <c r="G46" s="461">
        <f t="shared" si="11"/>
        <v>-1695.9214537724999</v>
      </c>
      <c r="H46" s="450"/>
    </row>
    <row r="47" spans="1:13" ht="15.75" thickBot="1">
      <c r="A47" s="428"/>
      <c r="B47" s="430" t="s">
        <v>18</v>
      </c>
      <c r="C47" s="462">
        <f>D47/F12</f>
        <v>0.44441443577208189</v>
      </c>
      <c r="D47" s="441">
        <f>SUM(D40:D46)</f>
        <v>17243.8978440225</v>
      </c>
      <c r="E47" s="527">
        <f>SUM(E40:E46)</f>
        <v>8831.4557812500007</v>
      </c>
      <c r="F47" s="522">
        <f>E47/F12</f>
        <v>0.2276066857720819</v>
      </c>
      <c r="G47" s="441">
        <f>SUM(G40:G46)</f>
        <v>-8412.4420627725012</v>
      </c>
      <c r="H47" s="428"/>
      <c r="I47" s="428"/>
      <c r="J47" s="428"/>
      <c r="K47" s="428"/>
      <c r="L47" s="428"/>
      <c r="M47" s="428"/>
    </row>
    <row r="48" spans="1:13" ht="15.75" thickBot="1">
      <c r="C48" s="433"/>
      <c r="D48" s="8"/>
      <c r="E48" s="7"/>
      <c r="F48" s="449"/>
      <c r="G48" s="8"/>
    </row>
    <row r="49" spans="2:9">
      <c r="B49" s="19" t="s">
        <v>221</v>
      </c>
      <c r="C49" s="437">
        <f>'W1 Forecast'!C82</f>
        <v>8.4099999999999994E-2</v>
      </c>
      <c r="D49" s="509">
        <f>F12*C49</f>
        <v>3263.1968989999996</v>
      </c>
      <c r="E49" s="510">
        <f>D49</f>
        <v>3263.1968989999996</v>
      </c>
      <c r="F49" s="495">
        <f>E49/F12</f>
        <v>8.4099999999999994E-2</v>
      </c>
      <c r="G49" s="540">
        <f>E49-D49</f>
        <v>0</v>
      </c>
    </row>
    <row r="50" spans="2:9">
      <c r="B50" s="19" t="s">
        <v>166</v>
      </c>
      <c r="C50" s="436">
        <f>'W1 Forecast'!C83</f>
        <v>1.0999999999999999E-2</v>
      </c>
      <c r="D50" s="432">
        <f>F12*C50</f>
        <v>426.81528999999995</v>
      </c>
      <c r="E50" s="517"/>
      <c r="F50" s="490">
        <f>E50/F12</f>
        <v>0</v>
      </c>
      <c r="G50" s="484">
        <f t="shared" ref="G50:G51" si="12">E50-D50</f>
        <v>-426.81528999999995</v>
      </c>
    </row>
    <row r="51" spans="2:9" ht="15.75" thickBot="1">
      <c r="B51" s="19" t="s">
        <v>222</v>
      </c>
      <c r="C51" s="503">
        <f>D51/F12</f>
        <v>0.23356122035834284</v>
      </c>
      <c r="D51" s="519">
        <f>'W1 Forecast'!D84</f>
        <v>9062.5</v>
      </c>
      <c r="E51" s="529">
        <f>D51</f>
        <v>9062.5</v>
      </c>
      <c r="F51" s="524">
        <f>E51/F12</f>
        <v>0.23356122035834284</v>
      </c>
      <c r="G51" s="461">
        <f t="shared" si="12"/>
        <v>0</v>
      </c>
    </row>
    <row r="52" spans="2:9" ht="15.75" thickBot="1">
      <c r="B52" s="430" t="s">
        <v>224</v>
      </c>
      <c r="C52" s="462">
        <f>D52/F12</f>
        <v>0.32866122035834283</v>
      </c>
      <c r="D52" s="441">
        <f>SUM(D49:D51)</f>
        <v>12752.512188999999</v>
      </c>
      <c r="E52" s="521">
        <f>SUM(E49:E51)</f>
        <v>12325.696898999999</v>
      </c>
      <c r="F52" s="522">
        <f>E52/F12</f>
        <v>0.31766122035834282</v>
      </c>
      <c r="G52" s="441">
        <f>SUM(G49:G51)</f>
        <v>-426.81528999999995</v>
      </c>
      <c r="H52" s="428"/>
      <c r="I52" s="428"/>
    </row>
    <row r="53" spans="2:9">
      <c r="C53" s="433"/>
      <c r="D53" s="8"/>
      <c r="E53" s="7"/>
      <c r="F53" s="449"/>
      <c r="G53" s="8"/>
    </row>
    <row r="54" spans="2:9">
      <c r="C54" s="438" t="s">
        <v>13</v>
      </c>
      <c r="D54" s="439" t="s">
        <v>12</v>
      </c>
      <c r="E54" s="499" t="s">
        <v>229</v>
      </c>
      <c r="F54" s="500" t="s">
        <v>230</v>
      </c>
      <c r="G54" s="439" t="s">
        <v>51</v>
      </c>
    </row>
    <row r="55" spans="2:9" ht="15.75" thickBot="1">
      <c r="B55" s="430" t="s">
        <v>225</v>
      </c>
      <c r="C55" s="435">
        <f>D55/F12</f>
        <v>-7.2960590407263784E-2</v>
      </c>
      <c r="D55" s="492">
        <f>F12-D20-D31-D37-D47-D52</f>
        <v>-2830.9723230225009</v>
      </c>
      <c r="E55" s="498">
        <f>F12-E20-E31-E37-E47-E52</f>
        <v>-22709.208280250001</v>
      </c>
      <c r="F55" s="491">
        <f>E55/F12</f>
        <v>-0.58526790613042479</v>
      </c>
      <c r="G55" s="492">
        <f>E55-D55</f>
        <v>-19878.235957227502</v>
      </c>
      <c r="H55" s="428"/>
      <c r="I55" s="501"/>
    </row>
    <row r="56" spans="2:9">
      <c r="E56" s="36"/>
      <c r="F56" s="449"/>
    </row>
    <row r="57" spans="2:9">
      <c r="B57" s="511"/>
      <c r="C57" t="s">
        <v>232</v>
      </c>
    </row>
    <row r="58" spans="2:9">
      <c r="B58" s="512"/>
      <c r="C58" t="s">
        <v>233</v>
      </c>
    </row>
    <row r="59" spans="2:9">
      <c r="B59" s="513"/>
      <c r="C59" t="s">
        <v>234</v>
      </c>
    </row>
    <row r="60" spans="2:9">
      <c r="B60" s="514"/>
      <c r="C60" t="s">
        <v>234</v>
      </c>
    </row>
    <row r="61" spans="2:9">
      <c r="B61" s="515"/>
      <c r="C61" t="s">
        <v>235</v>
      </c>
    </row>
    <row r="62" spans="2:9">
      <c r="F62" s="449"/>
    </row>
    <row r="63" spans="2:9">
      <c r="F63" s="449"/>
    </row>
    <row r="64" spans="2:9">
      <c r="F64" s="449"/>
    </row>
    <row r="65" spans="6:6">
      <c r="F65" s="449"/>
    </row>
    <row r="66" spans="6:6">
      <c r="F66" s="449"/>
    </row>
    <row r="67" spans="6:6">
      <c r="F67" s="449"/>
    </row>
    <row r="68" spans="6:6">
      <c r="F68" s="449"/>
    </row>
    <row r="69" spans="6:6">
      <c r="F69" s="449"/>
    </row>
    <row r="70" spans="6:6">
      <c r="F70" s="449"/>
    </row>
    <row r="71" spans="6:6">
      <c r="F71" s="449"/>
    </row>
    <row r="72" spans="6:6">
      <c r="F72" s="449"/>
    </row>
    <row r="73" spans="6:6">
      <c r="F73" s="449"/>
    </row>
    <row r="74" spans="6:6">
      <c r="F74" s="449"/>
    </row>
    <row r="75" spans="6:6">
      <c r="F75" s="449"/>
    </row>
    <row r="76" spans="6:6">
      <c r="F76" s="449"/>
    </row>
    <row r="77" spans="6:6">
      <c r="F77" s="449"/>
    </row>
    <row r="78" spans="6:6">
      <c r="F78" s="449"/>
    </row>
    <row r="79" spans="6:6">
      <c r="F79" s="449"/>
    </row>
    <row r="80" spans="6:6">
      <c r="F80" s="449"/>
    </row>
    <row r="81" spans="6:6">
      <c r="F81" s="449"/>
    </row>
    <row r="82" spans="6:6">
      <c r="F82" s="449"/>
    </row>
    <row r="83" spans="6:6">
      <c r="F83" s="449"/>
    </row>
    <row r="84" spans="6:6">
      <c r="F84" s="449"/>
    </row>
    <row r="85" spans="6:6">
      <c r="F85" s="449"/>
    </row>
    <row r="86" spans="6:6">
      <c r="F86" s="449"/>
    </row>
    <row r="87" spans="6:6">
      <c r="F87" s="449"/>
    </row>
    <row r="88" spans="6:6">
      <c r="F88" s="449"/>
    </row>
    <row r="89" spans="6:6">
      <c r="F89" s="449"/>
    </row>
    <row r="90" spans="6:6">
      <c r="F90" s="449"/>
    </row>
    <row r="91" spans="6:6">
      <c r="F91" s="449"/>
    </row>
    <row r="92" spans="6:6">
      <c r="F92" s="449"/>
    </row>
    <row r="93" spans="6:6">
      <c r="F93" s="449"/>
    </row>
    <row r="94" spans="6:6">
      <c r="F94" s="449"/>
    </row>
    <row r="95" spans="6:6">
      <c r="F95" s="449"/>
    </row>
    <row r="96" spans="6:6">
      <c r="F96" s="449"/>
    </row>
    <row r="97" spans="6:6">
      <c r="F97" s="449"/>
    </row>
    <row r="98" spans="6:6">
      <c r="F98" s="449"/>
    </row>
    <row r="99" spans="6:6">
      <c r="F99" s="449"/>
    </row>
    <row r="100" spans="6:6">
      <c r="F100" s="449"/>
    </row>
    <row r="101" spans="6:6">
      <c r="F101" s="449"/>
    </row>
    <row r="102" spans="6:6">
      <c r="F102" s="449"/>
    </row>
    <row r="103" spans="6:6">
      <c r="F103" s="449"/>
    </row>
    <row r="104" spans="6:6">
      <c r="F104" s="449"/>
    </row>
    <row r="105" spans="6:6">
      <c r="F105" s="449"/>
    </row>
    <row r="106" spans="6:6">
      <c r="F106" s="449"/>
    </row>
    <row r="107" spans="6:6">
      <c r="F107" s="449"/>
    </row>
    <row r="108" spans="6:6">
      <c r="F108" s="449"/>
    </row>
    <row r="109" spans="6:6">
      <c r="F109" s="449"/>
    </row>
    <row r="110" spans="6:6">
      <c r="F110" s="449"/>
    </row>
    <row r="111" spans="6:6">
      <c r="F111" s="449"/>
    </row>
    <row r="112" spans="6:6">
      <c r="F112" s="449"/>
    </row>
    <row r="113" spans="6:6">
      <c r="F113" s="449"/>
    </row>
    <row r="114" spans="6:6">
      <c r="F114" s="449"/>
    </row>
    <row r="115" spans="6:6">
      <c r="F115" s="449"/>
    </row>
    <row r="116" spans="6:6">
      <c r="F116" s="449"/>
    </row>
    <row r="117" spans="6:6">
      <c r="F117" s="449"/>
    </row>
    <row r="118" spans="6:6">
      <c r="F118" s="449"/>
    </row>
    <row r="119" spans="6:6">
      <c r="F119" s="449"/>
    </row>
    <row r="120" spans="6:6">
      <c r="F120" s="449"/>
    </row>
    <row r="121" spans="6:6">
      <c r="F121" s="449"/>
    </row>
    <row r="122" spans="6:6">
      <c r="F122" s="449"/>
    </row>
    <row r="123" spans="6:6">
      <c r="F123" s="449"/>
    </row>
    <row r="124" spans="6:6">
      <c r="F124" s="449"/>
    </row>
    <row r="125" spans="6:6">
      <c r="F125" s="449"/>
    </row>
    <row r="126" spans="6:6">
      <c r="F126" s="449"/>
    </row>
    <row r="127" spans="6:6">
      <c r="F127" s="449"/>
    </row>
    <row r="128" spans="6:6">
      <c r="F128" s="449"/>
    </row>
    <row r="129" spans="6:6">
      <c r="F129" s="449"/>
    </row>
    <row r="130" spans="6:6">
      <c r="F130" s="449"/>
    </row>
    <row r="131" spans="6:6">
      <c r="F131" s="449"/>
    </row>
    <row r="132" spans="6:6">
      <c r="F132" s="449"/>
    </row>
    <row r="133" spans="6:6">
      <c r="F133" s="449"/>
    </row>
    <row r="134" spans="6:6">
      <c r="F134" s="449"/>
    </row>
    <row r="135" spans="6:6">
      <c r="F135" s="449"/>
    </row>
    <row r="136" spans="6:6">
      <c r="F136" s="449"/>
    </row>
    <row r="137" spans="6:6">
      <c r="F137" s="449"/>
    </row>
    <row r="138" spans="6:6">
      <c r="F138" s="449"/>
    </row>
    <row r="139" spans="6:6">
      <c r="F139" s="449"/>
    </row>
    <row r="140" spans="6:6">
      <c r="F140" s="449"/>
    </row>
    <row r="141" spans="6:6">
      <c r="F141" s="449"/>
    </row>
    <row r="142" spans="6:6">
      <c r="F142" s="449"/>
    </row>
    <row r="143" spans="6:6">
      <c r="F143" s="449"/>
    </row>
    <row r="144" spans="6:6">
      <c r="F144" s="449"/>
    </row>
    <row r="145" spans="6:6">
      <c r="F145" s="449"/>
    </row>
    <row r="146" spans="6:6">
      <c r="F146" s="449"/>
    </row>
    <row r="147" spans="6:6">
      <c r="F147" s="449"/>
    </row>
    <row r="148" spans="6:6">
      <c r="F148" s="449"/>
    </row>
    <row r="149" spans="6:6">
      <c r="F149" s="449"/>
    </row>
    <row r="150" spans="6:6">
      <c r="F150" s="449"/>
    </row>
    <row r="151" spans="6:6">
      <c r="F151" s="449"/>
    </row>
    <row r="152" spans="6:6">
      <c r="F152" s="449"/>
    </row>
    <row r="153" spans="6:6">
      <c r="F153" s="449"/>
    </row>
    <row r="154" spans="6:6">
      <c r="F154" s="449"/>
    </row>
    <row r="155" spans="6:6">
      <c r="F155" s="449"/>
    </row>
    <row r="156" spans="6:6">
      <c r="F156" s="449"/>
    </row>
    <row r="157" spans="6:6">
      <c r="F157" s="449"/>
    </row>
    <row r="158" spans="6:6">
      <c r="F158" s="449"/>
    </row>
    <row r="159" spans="6:6">
      <c r="F159" s="449"/>
    </row>
    <row r="160" spans="6:6">
      <c r="F160" s="449"/>
    </row>
    <row r="161" spans="6:6">
      <c r="F161" s="449"/>
    </row>
    <row r="162" spans="6:6">
      <c r="F162" s="449"/>
    </row>
  </sheetData>
  <mergeCells count="2">
    <mergeCell ref="C2:D2"/>
    <mergeCell ref="C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88"/>
  <sheetViews>
    <sheetView workbookViewId="0">
      <selection activeCell="F8" sqref="F8"/>
    </sheetView>
  </sheetViews>
  <sheetFormatPr defaultRowHeight="15"/>
  <cols>
    <col min="1" max="1" width="3.85546875" customWidth="1"/>
    <col min="2" max="2" width="17.85546875" style="3" customWidth="1"/>
    <col min="3" max="4" width="11.28515625" customWidth="1"/>
    <col min="5" max="5" width="11.5703125" customWidth="1"/>
    <col min="6" max="8" width="10.5703125" customWidth="1"/>
    <col min="9" max="9" width="11.7109375" customWidth="1"/>
    <col min="10" max="10" width="10.5703125" customWidth="1"/>
    <col min="11" max="11" width="10.5703125" bestFit="1" customWidth="1"/>
    <col min="13" max="13" width="9.140625" customWidth="1"/>
  </cols>
  <sheetData>
    <row r="1" spans="1:15" ht="22.5" customHeight="1" thickBot="1">
      <c r="A1" t="s">
        <v>19</v>
      </c>
    </row>
    <row r="2" spans="1:15" ht="15.75" thickBot="1">
      <c r="E2" s="3" t="s">
        <v>20</v>
      </c>
      <c r="F2" s="940" t="str">
        <f>'W1 Forecast'!F2</f>
        <v>Max Fish</v>
      </c>
      <c r="G2" s="941"/>
      <c r="I2" s="19"/>
      <c r="J2" s="4"/>
    </row>
    <row r="3" spans="1:15" ht="16.5" thickBot="1">
      <c r="D3" s="140" t="s">
        <v>21</v>
      </c>
      <c r="E3" s="148">
        <f>'W1 Forecast'!E3</f>
        <v>2</v>
      </c>
      <c r="F3" s="143" t="s">
        <v>87</v>
      </c>
      <c r="G3" s="148">
        <f>'W3 Forecast'!G3+1</f>
        <v>4</v>
      </c>
    </row>
    <row r="4" spans="1:15" ht="17.25" customHeight="1" thickBot="1"/>
    <row r="5" spans="1:15" ht="24" customHeight="1" thickBot="1">
      <c r="A5" s="5"/>
      <c r="B5" s="195"/>
      <c r="C5" s="942" t="s">
        <v>23</v>
      </c>
      <c r="D5" s="942"/>
      <c r="E5" s="942"/>
      <c r="F5" s="942"/>
      <c r="G5" s="942"/>
      <c r="H5" s="942"/>
      <c r="I5" s="942"/>
      <c r="J5" s="16"/>
      <c r="K5" s="6"/>
    </row>
    <row r="6" spans="1:15" ht="15.75" thickBot="1">
      <c r="A6" s="7"/>
      <c r="B6" s="19"/>
      <c r="C6" s="943" t="s">
        <v>19</v>
      </c>
      <c r="D6" s="944"/>
      <c r="E6" s="945"/>
      <c r="F6" s="874">
        <f>'W1 Forecast'!F6:I6</f>
        <v>2021</v>
      </c>
      <c r="G6" s="874"/>
      <c r="H6" s="874"/>
      <c r="I6" s="875"/>
      <c r="K6" s="8"/>
      <c r="N6" s="35"/>
      <c r="O6" s="34"/>
    </row>
    <row r="7" spans="1:15" ht="15.75" thickBot="1">
      <c r="A7" s="7"/>
      <c r="B7" s="19"/>
      <c r="C7" s="320">
        <v>2014</v>
      </c>
      <c r="D7" s="321">
        <v>2015</v>
      </c>
      <c r="E7" s="322">
        <v>2016</v>
      </c>
      <c r="F7" s="323" t="s">
        <v>91</v>
      </c>
      <c r="G7" s="321" t="s">
        <v>92</v>
      </c>
      <c r="H7" s="321" t="s">
        <v>102</v>
      </c>
      <c r="I7" s="322" t="s">
        <v>2</v>
      </c>
      <c r="K7" s="196" t="s">
        <v>19</v>
      </c>
      <c r="N7" s="36"/>
      <c r="O7" s="34"/>
    </row>
    <row r="8" spans="1:15">
      <c r="A8" s="7"/>
      <c r="B8" s="19" t="s">
        <v>94</v>
      </c>
      <c r="C8" s="221"/>
      <c r="D8" s="222"/>
      <c r="E8" s="223"/>
      <c r="F8" s="221">
        <f>'Sales History &amp; Forecast'!AJ60</f>
        <v>1500</v>
      </c>
      <c r="G8" s="221">
        <f>'Sales History &amp; Forecast'!AK60</f>
        <v>4000</v>
      </c>
      <c r="H8" s="221">
        <f>'Sales History &amp; Forecast'!AL60</f>
        <v>0</v>
      </c>
      <c r="I8" s="223">
        <f>SUM(F8:H8)</f>
        <v>5500</v>
      </c>
      <c r="J8" s="197">
        <f>'W3 Forecast'!J14+1</f>
        <v>44242</v>
      </c>
      <c r="K8" s="8"/>
      <c r="O8" s="34"/>
    </row>
    <row r="9" spans="1:15" ht="15" customHeight="1">
      <c r="A9" s="7"/>
      <c r="B9" s="19" t="s">
        <v>95</v>
      </c>
      <c r="C9" s="221"/>
      <c r="D9" s="222"/>
      <c r="E9" s="223"/>
      <c r="F9" s="221">
        <f>'Sales History &amp; Forecast'!AJ61</f>
        <v>1700</v>
      </c>
      <c r="G9" s="221">
        <f>'Sales History &amp; Forecast'!AK61</f>
        <v>4000</v>
      </c>
      <c r="H9" s="221">
        <f>'Sales History &amp; Forecast'!AL61</f>
        <v>2000</v>
      </c>
      <c r="I9" s="224">
        <f t="shared" ref="I9:I14" si="0">SUM(F9:H9)</f>
        <v>7700</v>
      </c>
      <c r="J9" s="197">
        <f t="shared" ref="J9:J14" si="1">J8+1</f>
        <v>44243</v>
      </c>
      <c r="K9" s="8"/>
    </row>
    <row r="10" spans="1:15">
      <c r="A10" s="7"/>
      <c r="B10" s="19" t="s">
        <v>96</v>
      </c>
      <c r="C10" s="221"/>
      <c r="D10" s="222"/>
      <c r="E10" s="223"/>
      <c r="F10" s="221">
        <f>'Sales History &amp; Forecast'!AJ62</f>
        <v>1700</v>
      </c>
      <c r="G10" s="221">
        <f>'Sales History &amp; Forecast'!AK62</f>
        <v>8500</v>
      </c>
      <c r="H10" s="221">
        <f>'Sales History &amp; Forecast'!AL62</f>
        <v>0</v>
      </c>
      <c r="I10" s="224">
        <f t="shared" si="0"/>
        <v>10200</v>
      </c>
      <c r="J10" s="197">
        <f t="shared" si="1"/>
        <v>44244</v>
      </c>
      <c r="K10" s="8"/>
    </row>
    <row r="11" spans="1:15">
      <c r="A11" s="7"/>
      <c r="B11" s="19" t="s">
        <v>97</v>
      </c>
      <c r="C11" s="221"/>
      <c r="D11" s="222"/>
      <c r="E11" s="223"/>
      <c r="F11" s="221">
        <f>'Sales History &amp; Forecast'!AJ63</f>
        <v>1700</v>
      </c>
      <c r="G11" s="221">
        <f>'Sales History &amp; Forecast'!AK63</f>
        <v>5000</v>
      </c>
      <c r="H11" s="221">
        <f>'Sales History &amp; Forecast'!AL63</f>
        <v>0</v>
      </c>
      <c r="I11" s="224">
        <f t="shared" si="0"/>
        <v>6700</v>
      </c>
      <c r="J11" s="197">
        <f t="shared" si="1"/>
        <v>44245</v>
      </c>
      <c r="K11" s="8"/>
    </row>
    <row r="12" spans="1:15">
      <c r="A12" s="7"/>
      <c r="B12" s="19" t="s">
        <v>98</v>
      </c>
      <c r="C12" s="221"/>
      <c r="D12" s="222"/>
      <c r="E12" s="223"/>
      <c r="F12" s="221">
        <f>'Sales History &amp; Forecast'!AJ64</f>
        <v>2500</v>
      </c>
      <c r="G12" s="221">
        <f>'Sales History &amp; Forecast'!AK64</f>
        <v>15000</v>
      </c>
      <c r="H12" s="221">
        <f>'Sales History &amp; Forecast'!AL64</f>
        <v>0</v>
      </c>
      <c r="I12" s="224">
        <f t="shared" si="0"/>
        <v>17500</v>
      </c>
      <c r="J12" s="197">
        <f t="shared" si="1"/>
        <v>44246</v>
      </c>
      <c r="K12" s="8"/>
    </row>
    <row r="13" spans="1:15">
      <c r="A13" s="7"/>
      <c r="B13" s="19" t="s">
        <v>99</v>
      </c>
      <c r="C13" s="221"/>
      <c r="D13" s="222"/>
      <c r="E13" s="223"/>
      <c r="F13" s="221">
        <f>'Sales History &amp; Forecast'!AJ65</f>
        <v>3000</v>
      </c>
      <c r="G13" s="221">
        <f>'Sales History &amp; Forecast'!AK65</f>
        <v>15500</v>
      </c>
      <c r="H13" s="221">
        <f>'Sales History &amp; Forecast'!AL65</f>
        <v>0</v>
      </c>
      <c r="I13" s="224">
        <f t="shared" si="0"/>
        <v>18500</v>
      </c>
      <c r="J13" s="197">
        <f t="shared" si="1"/>
        <v>44247</v>
      </c>
      <c r="K13" s="8"/>
    </row>
    <row r="14" spans="1:15" ht="15.75" thickBot="1">
      <c r="A14" s="7"/>
      <c r="B14" s="19" t="s">
        <v>100</v>
      </c>
      <c r="C14" s="221"/>
      <c r="D14" s="222"/>
      <c r="E14" s="223"/>
      <c r="F14" s="221">
        <f>'Sales History &amp; Forecast'!AJ66</f>
        <v>5000</v>
      </c>
      <c r="G14" s="221">
        <f>'Sales History &amp; Forecast'!AK66</f>
        <v>3000</v>
      </c>
      <c r="H14" s="221">
        <f>'Sales History &amp; Forecast'!AL66</f>
        <v>0</v>
      </c>
      <c r="I14" s="225">
        <f t="shared" si="0"/>
        <v>8000</v>
      </c>
      <c r="J14" s="197">
        <f t="shared" si="1"/>
        <v>44248</v>
      </c>
      <c r="K14" s="8"/>
    </row>
    <row r="15" spans="1:15" ht="15.75" thickBot="1">
      <c r="A15" s="7"/>
      <c r="B15" s="19" t="s">
        <v>0</v>
      </c>
      <c r="C15" s="198">
        <f>SUM(C8:C14)</f>
        <v>0</v>
      </c>
      <c r="D15" s="199">
        <f t="shared" ref="D15:H15" si="2">SUM(D8:D14)</f>
        <v>0</v>
      </c>
      <c r="E15" s="200">
        <f t="shared" si="2"/>
        <v>0</v>
      </c>
      <c r="F15" s="198">
        <f t="shared" si="2"/>
        <v>17100</v>
      </c>
      <c r="G15" s="199">
        <f t="shared" si="2"/>
        <v>55000</v>
      </c>
      <c r="H15" s="199">
        <f t="shared" si="2"/>
        <v>2000</v>
      </c>
      <c r="I15" s="201">
        <f>SUM(I8:I14)</f>
        <v>74100</v>
      </c>
      <c r="K15" s="8"/>
    </row>
    <row r="16" spans="1:15" ht="15.75" thickBot="1">
      <c r="A16" s="7"/>
      <c r="B16" s="19"/>
      <c r="K16" s="8"/>
    </row>
    <row r="17" spans="1:13" ht="18" customHeight="1" thickBot="1">
      <c r="A17" s="30"/>
      <c r="B17" s="31"/>
      <c r="C17" s="907" t="s">
        <v>22</v>
      </c>
      <c r="D17" s="907"/>
      <c r="E17" s="907"/>
      <c r="F17" s="907"/>
      <c r="G17" s="217"/>
      <c r="H17" s="908" t="s">
        <v>28</v>
      </c>
      <c r="I17" s="907"/>
      <c r="J17" s="909"/>
      <c r="K17" s="938" t="s">
        <v>39</v>
      </c>
      <c r="L17" s="939"/>
      <c r="M17" s="6"/>
    </row>
    <row r="18" spans="1:13" ht="15.75" thickBot="1">
      <c r="A18" s="5"/>
      <c r="B18" s="214"/>
      <c r="C18" s="215" t="s">
        <v>15</v>
      </c>
      <c r="D18" s="215" t="s">
        <v>14</v>
      </c>
      <c r="E18" s="215" t="s">
        <v>13</v>
      </c>
      <c r="F18" s="215" t="s">
        <v>12</v>
      </c>
      <c r="G18" s="6"/>
      <c r="I18" s="17" t="s">
        <v>37</v>
      </c>
      <c r="J18" s="18" t="s">
        <v>38</v>
      </c>
      <c r="K18" s="32" t="s">
        <v>40</v>
      </c>
      <c r="L18" s="33" t="s">
        <v>38</v>
      </c>
      <c r="M18" s="8"/>
    </row>
    <row r="19" spans="1:13" ht="15.75" thickBot="1">
      <c r="A19" s="7"/>
      <c r="B19" s="3" t="s">
        <v>17</v>
      </c>
      <c r="C19" s="255" t="s">
        <v>19</v>
      </c>
      <c r="D19" s="256"/>
      <c r="E19" s="363">
        <f>+F19/$I$15</f>
        <v>3.7631039136302294E-2</v>
      </c>
      <c r="F19" s="402">
        <f>'W1 Forecast'!F19</f>
        <v>2788.46</v>
      </c>
      <c r="G19" s="8"/>
      <c r="I19" s="17"/>
      <c r="J19" s="18"/>
      <c r="K19" s="32"/>
      <c r="L19" s="33"/>
      <c r="M19" s="8"/>
    </row>
    <row r="20" spans="1:13">
      <c r="A20" s="7"/>
      <c r="B20" s="1" t="s">
        <v>3</v>
      </c>
      <c r="C20" s="20">
        <f t="shared" ref="C20:C25" si="3">+F20/D20</f>
        <v>211.71428571428572</v>
      </c>
      <c r="D20" s="21">
        <f>'W1 Forecast'!D20</f>
        <v>14</v>
      </c>
      <c r="E20" s="22">
        <f>'W1 Forecast'!E20</f>
        <v>0.04</v>
      </c>
      <c r="F20" s="23">
        <f t="shared" ref="F20:F27" si="4">+E20*$I$15</f>
        <v>2964</v>
      </c>
      <c r="G20" s="8"/>
      <c r="H20" s="216" t="s">
        <v>29</v>
      </c>
      <c r="I20" s="24">
        <f t="shared" ref="I20:I25" si="5">+$I$26*J20</f>
        <v>48268.74</v>
      </c>
      <c r="J20" s="726">
        <f>'W1 Forecast'!J20</f>
        <v>0.65139999999999998</v>
      </c>
      <c r="K20" s="24">
        <f t="shared" ref="K20:K25" si="6">+I20*L20</f>
        <v>15445.996799999999</v>
      </c>
      <c r="L20" s="472">
        <f>'W1 Forecast'!L20</f>
        <v>0.32</v>
      </c>
      <c r="M20" s="8"/>
    </row>
    <row r="21" spans="1:13">
      <c r="A21" s="7"/>
      <c r="B21" s="1" t="s">
        <v>168</v>
      </c>
      <c r="C21" s="20">
        <f t="shared" si="3"/>
        <v>57.162857142857142</v>
      </c>
      <c r="D21" s="21">
        <f>'W1 Forecast'!D21</f>
        <v>17.5</v>
      </c>
      <c r="E21" s="22">
        <f>'W1 Forecast'!E21</f>
        <v>1.35E-2</v>
      </c>
      <c r="F21" s="23">
        <f t="shared" si="4"/>
        <v>1000.35</v>
      </c>
      <c r="G21" s="8"/>
      <c r="H21" s="216" t="s">
        <v>24</v>
      </c>
      <c r="I21" s="26">
        <f t="shared" si="5"/>
        <v>7654.5300000000007</v>
      </c>
      <c r="J21" s="727">
        <f>'W1 Forecast'!J21</f>
        <v>0.1033</v>
      </c>
      <c r="K21" s="26">
        <f t="shared" si="6"/>
        <v>1301.2701000000002</v>
      </c>
      <c r="L21" s="27">
        <f>'W1 Forecast'!L21</f>
        <v>0.17</v>
      </c>
      <c r="M21" s="8"/>
    </row>
    <row r="22" spans="1:13">
      <c r="A22" s="7"/>
      <c r="B22" s="1" t="s">
        <v>169</v>
      </c>
      <c r="C22" s="20">
        <f t="shared" si="3"/>
        <v>52.636551724137931</v>
      </c>
      <c r="D22" s="21">
        <f>'W1 Forecast'!D22</f>
        <v>14.5</v>
      </c>
      <c r="E22" s="22">
        <f>'W1 Forecast'!E22</f>
        <v>1.03E-2</v>
      </c>
      <c r="F22" s="23">
        <f t="shared" si="4"/>
        <v>763.23</v>
      </c>
      <c r="G22" s="8"/>
      <c r="H22" s="216" t="s">
        <v>25</v>
      </c>
      <c r="I22" s="26">
        <f t="shared" si="5"/>
        <v>3593.85</v>
      </c>
      <c r="J22" s="727">
        <f>'W1 Forecast'!J22</f>
        <v>4.8500000000000001E-2</v>
      </c>
      <c r="K22" s="26">
        <f t="shared" si="6"/>
        <v>682.83150000000001</v>
      </c>
      <c r="L22" s="27">
        <f>'W1 Forecast'!L22</f>
        <v>0.19</v>
      </c>
      <c r="M22" s="8"/>
    </row>
    <row r="23" spans="1:13" s="2" customFormat="1">
      <c r="A23" s="9"/>
      <c r="B23" s="1" t="s">
        <v>4</v>
      </c>
      <c r="C23" s="20">
        <f t="shared" si="3"/>
        <v>24.7</v>
      </c>
      <c r="D23" s="21">
        <f>'W1 Forecast'!D23</f>
        <v>13.5</v>
      </c>
      <c r="E23" s="22">
        <f>'W1 Forecast'!E23</f>
        <v>4.4999999999999997E-3</v>
      </c>
      <c r="F23" s="23">
        <f t="shared" si="4"/>
        <v>333.45</v>
      </c>
      <c r="G23" s="11"/>
      <c r="H23" s="216" t="s">
        <v>26</v>
      </c>
      <c r="I23" s="26">
        <f t="shared" si="5"/>
        <v>12478.439999999999</v>
      </c>
      <c r="J23" s="727">
        <f>'W1 Forecast'!J23</f>
        <v>0.16839999999999999</v>
      </c>
      <c r="K23" s="26">
        <f t="shared" si="6"/>
        <v>2870.0411999999997</v>
      </c>
      <c r="L23" s="27">
        <f>'W1 Forecast'!L23</f>
        <v>0.23</v>
      </c>
      <c r="M23" s="11"/>
    </row>
    <row r="24" spans="1:13">
      <c r="A24" s="7"/>
      <c r="B24" s="1" t="s">
        <v>170</v>
      </c>
      <c r="C24" s="20">
        <f t="shared" si="3"/>
        <v>24.7</v>
      </c>
      <c r="D24" s="21">
        <f>'W1 Forecast'!D24</f>
        <v>15</v>
      </c>
      <c r="E24" s="22">
        <f>'W1 Forecast'!E24</f>
        <v>5.0000000000000001E-3</v>
      </c>
      <c r="F24" s="23">
        <f t="shared" si="4"/>
        <v>370.5</v>
      </c>
      <c r="G24" s="8"/>
      <c r="H24" s="216" t="s">
        <v>27</v>
      </c>
      <c r="I24" s="26">
        <f t="shared" si="5"/>
        <v>2104.44</v>
      </c>
      <c r="J24" s="727">
        <f>'W1 Forecast'!J24</f>
        <v>2.8400000000000002E-2</v>
      </c>
      <c r="K24" s="26">
        <f t="shared" si="6"/>
        <v>252.53280000000001</v>
      </c>
      <c r="L24" s="27">
        <f>'W1 Forecast'!L24</f>
        <v>0.12</v>
      </c>
      <c r="M24" s="8"/>
    </row>
    <row r="25" spans="1:13" ht="15.75" thickBot="1">
      <c r="A25" s="7"/>
      <c r="B25" s="1" t="s">
        <v>5</v>
      </c>
      <c r="C25" s="20">
        <f t="shared" si="3"/>
        <v>92.625</v>
      </c>
      <c r="D25" s="21">
        <f>'W1 Forecast'!D25</f>
        <v>12</v>
      </c>
      <c r="E25" s="22">
        <f>'W1 Forecast'!E25</f>
        <v>1.4999999999999999E-2</v>
      </c>
      <c r="F25" s="23">
        <f t="shared" si="4"/>
        <v>1111.5</v>
      </c>
      <c r="G25" s="8"/>
      <c r="H25" s="725" t="s">
        <v>241</v>
      </c>
      <c r="I25" s="469">
        <f t="shared" si="5"/>
        <v>0</v>
      </c>
      <c r="J25" s="728">
        <f>'W1 Forecast'!J25</f>
        <v>0</v>
      </c>
      <c r="K25" s="469">
        <f t="shared" si="6"/>
        <v>0</v>
      </c>
      <c r="L25" s="470">
        <f>'W1 Forecast'!L25</f>
        <v>0</v>
      </c>
      <c r="M25" s="8"/>
    </row>
    <row r="26" spans="1:13" ht="15.75" thickBot="1">
      <c r="A26" s="7"/>
      <c r="B26" s="1" t="s">
        <v>162</v>
      </c>
      <c r="C26" s="20"/>
      <c r="D26" s="21">
        <f>'W1 Forecast'!D26</f>
        <v>0</v>
      </c>
      <c r="E26" s="22">
        <f>'W1 Forecast'!E26</f>
        <v>0</v>
      </c>
      <c r="F26" s="23">
        <f t="shared" si="4"/>
        <v>0</v>
      </c>
      <c r="G26" s="389"/>
      <c r="H26" s="216" t="s">
        <v>0</v>
      </c>
      <c r="I26" s="467">
        <f>+I15</f>
        <v>74100</v>
      </c>
      <c r="J26" s="468">
        <f>+I26/I26</f>
        <v>1</v>
      </c>
      <c r="K26" s="469">
        <f>SUM(K20:K25)</f>
        <v>20552.672399999999</v>
      </c>
      <c r="L26" s="470">
        <f>+K26/I26</f>
        <v>0.277364</v>
      </c>
      <c r="M26" s="8"/>
    </row>
    <row r="27" spans="1:13" ht="15.75" thickBot="1">
      <c r="A27" s="7"/>
      <c r="B27" s="1"/>
      <c r="C27" s="257"/>
      <c r="D27" s="258">
        <f>'W1 Forecast'!D27</f>
        <v>0</v>
      </c>
      <c r="E27" s="259"/>
      <c r="F27" s="260">
        <f t="shared" si="4"/>
        <v>0</v>
      </c>
      <c r="G27" s="8"/>
      <c r="M27" s="8"/>
    </row>
    <row r="28" spans="1:13" ht="15.75" thickBot="1">
      <c r="A28" s="7"/>
      <c r="B28" s="10" t="s">
        <v>6</v>
      </c>
      <c r="C28" s="261">
        <f>SUM(C20:C27)</f>
        <v>463.53869458128077</v>
      </c>
      <c r="D28" s="262">
        <f>+F28/C28</f>
        <v>20.130983905085273</v>
      </c>
      <c r="E28" s="263">
        <f>SUM(E19:E27)</f>
        <v>0.1259310391363023</v>
      </c>
      <c r="F28" s="264">
        <f>SUM(F19:F27)</f>
        <v>9331.4900000000016</v>
      </c>
      <c r="G28" s="8"/>
      <c r="H28" s="216" t="s">
        <v>30</v>
      </c>
      <c r="I28" s="24">
        <f t="shared" ref="I28:I35" si="7">+$I$20*J28</f>
        <v>1110.18102</v>
      </c>
      <c r="J28" s="25">
        <f>'W1 Forecast'!J28</f>
        <v>2.3E-2</v>
      </c>
      <c r="M28" s="8"/>
    </row>
    <row r="29" spans="1:13">
      <c r="A29" s="7"/>
      <c r="B29" s="3" t="s">
        <v>16</v>
      </c>
      <c r="C29" s="255" t="s">
        <v>19</v>
      </c>
      <c r="D29" s="256"/>
      <c r="E29" s="319">
        <f>F29/I15</f>
        <v>3.1246693657219975E-2</v>
      </c>
      <c r="F29" s="402">
        <f>'W1 Forecast'!F29</f>
        <v>2315.38</v>
      </c>
      <c r="G29" s="8"/>
      <c r="H29" s="216" t="s">
        <v>31</v>
      </c>
      <c r="I29" s="26">
        <f t="shared" si="7"/>
        <v>9653.7479999999996</v>
      </c>
      <c r="J29" s="27">
        <f>'W1 Forecast'!J29</f>
        <v>0.2</v>
      </c>
      <c r="M29" s="8"/>
    </row>
    <row r="30" spans="1:13">
      <c r="A30" s="7"/>
      <c r="B30" s="1" t="s">
        <v>7</v>
      </c>
      <c r="C30" s="20">
        <f t="shared" ref="C30:C36" si="8">+F30/D30</f>
        <v>377.46865203761757</v>
      </c>
      <c r="D30" s="21">
        <f>'W1 Forecast'!D30</f>
        <v>6.38</v>
      </c>
      <c r="E30" s="22">
        <f>'W1 Forecast'!E30</f>
        <v>3.2500000000000001E-2</v>
      </c>
      <c r="F30" s="23">
        <f t="shared" ref="F30:F36" si="9">+E30*$I$15</f>
        <v>2408.25</v>
      </c>
      <c r="G30" s="8"/>
      <c r="H30" s="216" t="s">
        <v>32</v>
      </c>
      <c r="I30" s="26">
        <f t="shared" si="7"/>
        <v>72.403109999999998</v>
      </c>
      <c r="J30" s="27">
        <f>'W1 Forecast'!J30</f>
        <v>1.5E-3</v>
      </c>
      <c r="M30" s="8"/>
    </row>
    <row r="31" spans="1:13" s="2" customFormat="1">
      <c r="A31" s="9"/>
      <c r="B31" s="1" t="s">
        <v>8</v>
      </c>
      <c r="C31" s="20">
        <f t="shared" si="8"/>
        <v>61.75</v>
      </c>
      <c r="D31" s="21">
        <f>'W1 Forecast'!D31</f>
        <v>12</v>
      </c>
      <c r="E31" s="22">
        <f>'W1 Forecast'!E31</f>
        <v>0.01</v>
      </c>
      <c r="F31" s="23">
        <f t="shared" si="9"/>
        <v>741</v>
      </c>
      <c r="G31" s="11"/>
      <c r="H31" s="216" t="s">
        <v>33</v>
      </c>
      <c r="I31" s="26">
        <f t="shared" si="7"/>
        <v>820.56858</v>
      </c>
      <c r="J31" s="27">
        <f>'W1 Forecast'!J31</f>
        <v>1.7000000000000001E-2</v>
      </c>
      <c r="K31"/>
      <c r="L31"/>
      <c r="M31" s="11"/>
    </row>
    <row r="32" spans="1:13" s="2" customFormat="1">
      <c r="A32" s="9"/>
      <c r="B32" s="1" t="s">
        <v>171</v>
      </c>
      <c r="C32" s="20">
        <f t="shared" si="8"/>
        <v>58.590697674418607</v>
      </c>
      <c r="D32" s="21">
        <f>'W1 Forecast'!D32</f>
        <v>21.5</v>
      </c>
      <c r="E32" s="22">
        <f>'W1 Forecast'!E32</f>
        <v>1.7000000000000001E-2</v>
      </c>
      <c r="F32" s="23">
        <f t="shared" si="9"/>
        <v>1259.7</v>
      </c>
      <c r="G32" s="11"/>
      <c r="H32" s="216" t="s">
        <v>34</v>
      </c>
      <c r="I32" s="26">
        <f t="shared" si="7"/>
        <v>1448.0621999999998</v>
      </c>
      <c r="J32" s="27">
        <f>'W1 Forecast'!J32</f>
        <v>0.03</v>
      </c>
      <c r="M32" s="11"/>
    </row>
    <row r="33" spans="1:13" s="2" customFormat="1">
      <c r="A33" s="9"/>
      <c r="B33" s="1" t="s">
        <v>162</v>
      </c>
      <c r="C33" s="20">
        <f t="shared" si="8"/>
        <v>0</v>
      </c>
      <c r="D33" s="21">
        <f>'W1 Forecast'!D33</f>
        <v>18</v>
      </c>
      <c r="E33" s="22"/>
      <c r="F33" s="23">
        <f t="shared" si="9"/>
        <v>0</v>
      </c>
      <c r="G33" s="11"/>
      <c r="H33" s="216"/>
      <c r="I33" s="26"/>
      <c r="J33" s="27"/>
      <c r="M33" s="11"/>
    </row>
    <row r="34" spans="1:13">
      <c r="A34" s="7"/>
      <c r="B34" s="1" t="s">
        <v>9</v>
      </c>
      <c r="C34" s="20">
        <f t="shared" si="8"/>
        <v>80.028000000000006</v>
      </c>
      <c r="D34" s="21">
        <f>'W1 Forecast'!D34</f>
        <v>10</v>
      </c>
      <c r="E34" s="22">
        <f>'W1 Forecast'!E34</f>
        <v>1.0800000000000001E-2</v>
      </c>
      <c r="F34" s="23">
        <f t="shared" si="9"/>
        <v>800.28000000000009</v>
      </c>
      <c r="G34" s="8"/>
      <c r="H34" s="216" t="s">
        <v>35</v>
      </c>
      <c r="I34" s="26">
        <f t="shared" si="7"/>
        <v>1110.18102</v>
      </c>
      <c r="J34" s="27">
        <f>'W1 Forecast'!J34</f>
        <v>2.3E-2</v>
      </c>
      <c r="K34" s="2"/>
      <c r="L34" s="2"/>
      <c r="M34" s="8"/>
    </row>
    <row r="35" spans="1:13" ht="15.75" thickBot="1">
      <c r="A35" s="7"/>
      <c r="B35" s="1" t="s">
        <v>286</v>
      </c>
      <c r="C35" s="20">
        <f t="shared" si="8"/>
        <v>46.3125</v>
      </c>
      <c r="D35" s="21">
        <f>'W1 Forecast'!D35</f>
        <v>12</v>
      </c>
      <c r="E35" s="22">
        <f>'W1 Forecast'!E35</f>
        <v>7.4999999999999997E-3</v>
      </c>
      <c r="F35" s="23">
        <f t="shared" si="9"/>
        <v>555.75</v>
      </c>
      <c r="G35" s="8"/>
      <c r="H35" s="216" t="s">
        <v>36</v>
      </c>
      <c r="I35" s="28">
        <f t="shared" si="7"/>
        <v>1930.7495999999999</v>
      </c>
      <c r="J35" s="29">
        <f>'W1 Forecast'!J35</f>
        <v>0.04</v>
      </c>
      <c r="M35" s="8"/>
    </row>
    <row r="36" spans="1:13" ht="15.75" thickBot="1">
      <c r="A36" s="7"/>
      <c r="B36" s="1" t="s">
        <v>287</v>
      </c>
      <c r="C36" s="20">
        <f t="shared" si="8"/>
        <v>24.700000000000003</v>
      </c>
      <c r="D36" s="21">
        <f>'W1 Forecast'!D36</f>
        <v>12</v>
      </c>
      <c r="E36" s="22">
        <f>'W1 Forecast'!E36</f>
        <v>4.0000000000000001E-3</v>
      </c>
      <c r="F36" s="23">
        <f t="shared" si="9"/>
        <v>296.40000000000003</v>
      </c>
      <c r="G36" s="8"/>
      <c r="H36" s="216" t="s">
        <v>0</v>
      </c>
      <c r="I36" s="671">
        <f>SUM(I28:I35)</f>
        <v>16145.893529999998</v>
      </c>
      <c r="J36" s="670">
        <f>SUM(J28:J35)</f>
        <v>0.33449999999999996</v>
      </c>
      <c r="M36" s="8"/>
    </row>
    <row r="37" spans="1:13" ht="15.75" thickBot="1">
      <c r="A37" s="7"/>
      <c r="B37" s="1" t="s">
        <v>288</v>
      </c>
      <c r="C37" s="393"/>
      <c r="D37" s="258">
        <f>'W1 Forecast'!D37</f>
        <v>13</v>
      </c>
      <c r="E37" s="259">
        <f>'W1 Forecast'!E37</f>
        <v>3.0000000000000001E-3</v>
      </c>
      <c r="F37" s="394"/>
      <c r="G37" s="8"/>
      <c r="M37" s="8"/>
    </row>
    <row r="38" spans="1:13" ht="15.75" thickBot="1">
      <c r="A38" s="7"/>
      <c r="B38" s="10" t="s">
        <v>11</v>
      </c>
      <c r="C38" s="252">
        <f>SUM(C30:C37)</f>
        <v>648.84984971203619</v>
      </c>
      <c r="D38" s="139">
        <f>+F38/C38</f>
        <v>12.91016712682859</v>
      </c>
      <c r="E38" s="253">
        <f>SUM(E29:E37)</f>
        <v>0.11604669365721998</v>
      </c>
      <c r="F38" s="254">
        <f>SUM(F29:F37)</f>
        <v>8376.76</v>
      </c>
      <c r="G38" s="8"/>
      <c r="M38" s="8"/>
    </row>
    <row r="39" spans="1:13" ht="15.75" thickBot="1">
      <c r="A39" s="7"/>
      <c r="B39" s="10" t="s">
        <v>18</v>
      </c>
      <c r="C39" s="138">
        <f>+C38+C28</f>
        <v>1112.388544293317</v>
      </c>
      <c r="D39" s="244">
        <f>+F39/C39</f>
        <v>15.919122945705787</v>
      </c>
      <c r="E39" s="250">
        <f>+E38+E28</f>
        <v>0.24197773279352228</v>
      </c>
      <c r="F39" s="251">
        <f>+F38+F28</f>
        <v>17708.25</v>
      </c>
      <c r="G39" s="8"/>
      <c r="M39" s="8"/>
    </row>
    <row r="40" spans="1:13">
      <c r="A40" s="7"/>
      <c r="G40" s="8"/>
      <c r="H40" s="205" t="s">
        <v>163</v>
      </c>
      <c r="I40" s="206">
        <f>+I15*J40</f>
        <v>770.64</v>
      </c>
      <c r="J40" s="207">
        <f>'W1 Forecast'!J40</f>
        <v>1.04E-2</v>
      </c>
      <c r="M40" s="8"/>
    </row>
    <row r="41" spans="1:13">
      <c r="A41" s="7"/>
      <c r="E41" s="265"/>
      <c r="F41" s="267"/>
      <c r="G41" s="8"/>
      <c r="H41" s="208" t="s">
        <v>164</v>
      </c>
      <c r="I41" s="209">
        <f>+I15*J41</f>
        <v>555.75</v>
      </c>
      <c r="J41" s="210">
        <f>'W1 Forecast'!J41</f>
        <v>7.4999999999999997E-3</v>
      </c>
      <c r="M41" s="8"/>
    </row>
    <row r="42" spans="1:13">
      <c r="A42" s="7"/>
      <c r="G42" s="8"/>
      <c r="H42" s="208" t="s">
        <v>165</v>
      </c>
      <c r="I42" s="209">
        <f>+I15*J42</f>
        <v>1029.99</v>
      </c>
      <c r="J42" s="210">
        <f>'W1 Forecast'!J42</f>
        <v>1.3899999999999999E-2</v>
      </c>
      <c r="M42" s="8"/>
    </row>
    <row r="43" spans="1:13">
      <c r="A43" s="7"/>
      <c r="B43" s="10"/>
      <c r="E43" s="265"/>
      <c r="F43" s="266"/>
      <c r="G43" s="8"/>
      <c r="H43" s="208" t="s">
        <v>166</v>
      </c>
      <c r="I43" s="209">
        <f>+I15*J43</f>
        <v>815.09999999999991</v>
      </c>
      <c r="J43" s="210">
        <f>'W1 Forecast'!J43</f>
        <v>1.0999999999999999E-2</v>
      </c>
      <c r="M43" s="8"/>
    </row>
    <row r="44" spans="1:13" ht="15.75" thickBot="1">
      <c r="A44" s="12"/>
      <c r="B44" s="13"/>
      <c r="C44" s="14"/>
      <c r="D44" s="14"/>
      <c r="E44" s="14"/>
      <c r="F44" s="14"/>
      <c r="G44" s="15"/>
      <c r="H44" s="211" t="s">
        <v>167</v>
      </c>
      <c r="I44" s="212">
        <f>+I15*J44</f>
        <v>185.25</v>
      </c>
      <c r="J44" s="213">
        <f>'W1 Forecast'!J44</f>
        <v>2.5000000000000001E-3</v>
      </c>
      <c r="K44" s="12"/>
      <c r="L44" s="14"/>
      <c r="M44" s="15"/>
    </row>
    <row r="45" spans="1:13" ht="15.75" thickBot="1">
      <c r="E45" s="265"/>
      <c r="F45" s="266"/>
    </row>
    <row r="46" spans="1:13" ht="15.75">
      <c r="B46" s="431" t="s">
        <v>201</v>
      </c>
      <c r="C46" s="434" t="s">
        <v>13</v>
      </c>
      <c r="D46" s="429" t="s">
        <v>12</v>
      </c>
      <c r="E46" s="446"/>
      <c r="F46" s="447"/>
      <c r="G46" s="446"/>
      <c r="H46" s="428"/>
      <c r="I46" s="428"/>
    </row>
    <row r="47" spans="1:13">
      <c r="B47" s="653" t="s">
        <v>244</v>
      </c>
      <c r="C47" s="488">
        <f>'W1 Forecast'!C47</f>
        <v>5.0000000000000001E-4</v>
      </c>
      <c r="D47" s="442">
        <f>$I$15*C47</f>
        <v>37.050000000000004</v>
      </c>
      <c r="E47" s="448"/>
      <c r="F47" s="449"/>
      <c r="G47" s="450"/>
      <c r="H47" s="428"/>
      <c r="I47" s="428"/>
    </row>
    <row r="48" spans="1:13">
      <c r="B48" s="653" t="s">
        <v>245</v>
      </c>
      <c r="C48" s="488">
        <f>'W1 Forecast'!C48</f>
        <v>0</v>
      </c>
      <c r="D48" s="442">
        <f t="shared" ref="D48:D63" si="10">$I$15*C48</f>
        <v>0</v>
      </c>
      <c r="E48" s="448"/>
      <c r="F48" s="449"/>
      <c r="G48" s="450"/>
      <c r="H48" s="428"/>
      <c r="I48" s="428"/>
    </row>
    <row r="49" spans="1:18">
      <c r="B49" s="653" t="s">
        <v>246</v>
      </c>
      <c r="C49" s="488">
        <f>'W1 Forecast'!C49</f>
        <v>3.7000000000000002E-3</v>
      </c>
      <c r="D49" s="442">
        <f t="shared" si="10"/>
        <v>274.17</v>
      </c>
      <c r="E49" s="448"/>
      <c r="F49" s="449"/>
      <c r="G49" s="450"/>
      <c r="H49" s="428"/>
      <c r="I49" s="428"/>
    </row>
    <row r="50" spans="1:18">
      <c r="A50" s="3"/>
      <c r="B50" s="653" t="s">
        <v>247</v>
      </c>
      <c r="C50" s="488">
        <f>'W1 Forecast'!C50</f>
        <v>3.5999999999999999E-3</v>
      </c>
      <c r="D50" s="442">
        <f t="shared" si="10"/>
        <v>266.76</v>
      </c>
      <c r="E50" s="448"/>
      <c r="F50" s="449"/>
      <c r="G50" s="450"/>
      <c r="H50" s="428"/>
      <c r="I50" s="428"/>
    </row>
    <row r="51" spans="1:18">
      <c r="A51" s="3"/>
      <c r="B51" s="653" t="s">
        <v>248</v>
      </c>
      <c r="C51" s="488">
        <f>'W1 Forecast'!C51</f>
        <v>4.4000000000000003E-3</v>
      </c>
      <c r="D51" s="442">
        <f t="shared" si="10"/>
        <v>326.04000000000002</v>
      </c>
      <c r="E51" s="448"/>
      <c r="F51" s="449"/>
      <c r="G51" s="450"/>
      <c r="H51" s="428"/>
      <c r="I51" s="428"/>
    </row>
    <row r="52" spans="1:18" s="417" customFormat="1">
      <c r="A52" s="10"/>
      <c r="B52" s="653" t="s">
        <v>249</v>
      </c>
      <c r="C52" s="488">
        <f>'W1 Forecast'!C52</f>
        <v>3.5000000000000001E-3</v>
      </c>
      <c r="D52" s="442">
        <f t="shared" si="10"/>
        <v>259.35000000000002</v>
      </c>
      <c r="E52" s="448"/>
      <c r="F52" s="449"/>
      <c r="G52" s="450"/>
      <c r="H52"/>
      <c r="I52"/>
      <c r="J52" s="420"/>
      <c r="K52" s="420"/>
      <c r="M52" s="420"/>
      <c r="N52" s="420"/>
      <c r="O52" s="420"/>
      <c r="P52" s="420"/>
      <c r="Q52" s="420"/>
      <c r="R52" s="420"/>
    </row>
    <row r="53" spans="1:18" s="417" customFormat="1">
      <c r="A53" s="10"/>
      <c r="B53" s="653" t="s">
        <v>250</v>
      </c>
      <c r="C53" s="488">
        <f>'W1 Forecast'!C53</f>
        <v>5.0000000000000001E-4</v>
      </c>
      <c r="D53" s="442">
        <f t="shared" si="10"/>
        <v>37.050000000000004</v>
      </c>
      <c r="E53" s="448"/>
      <c r="F53" s="449"/>
      <c r="G53" s="450"/>
      <c r="H53"/>
      <c r="I53"/>
      <c r="J53" s="418"/>
      <c r="K53" s="418"/>
      <c r="M53" s="418"/>
      <c r="N53" s="418"/>
      <c r="O53" s="418"/>
      <c r="P53" s="418"/>
      <c r="Q53" s="418"/>
      <c r="R53" s="418"/>
    </row>
    <row r="54" spans="1:18" s="417" customFormat="1">
      <c r="A54" s="10"/>
      <c r="B54" s="653" t="s">
        <v>251</v>
      </c>
      <c r="C54" s="488">
        <f>'W1 Forecast'!C54</f>
        <v>5.9999999999999995E-4</v>
      </c>
      <c r="D54" s="442">
        <f t="shared" si="10"/>
        <v>44.459999999999994</v>
      </c>
      <c r="E54" s="448"/>
      <c r="F54" s="449"/>
      <c r="G54" s="450"/>
      <c r="H54"/>
      <c r="I54"/>
      <c r="J54" s="418"/>
      <c r="K54" s="418"/>
      <c r="M54" s="418"/>
      <c r="N54" s="418"/>
      <c r="O54" s="418"/>
      <c r="P54" s="418"/>
      <c r="Q54" s="418"/>
      <c r="R54" s="418"/>
    </row>
    <row r="55" spans="1:18" s="417" customFormat="1">
      <c r="A55" s="10"/>
      <c r="B55" s="653" t="s">
        <v>252</v>
      </c>
      <c r="C55" s="488">
        <f>'W1 Forecast'!C55</f>
        <v>5.0000000000000001E-4</v>
      </c>
      <c r="D55" s="442">
        <f t="shared" si="10"/>
        <v>37.050000000000004</v>
      </c>
      <c r="E55" s="448"/>
      <c r="F55" s="449"/>
      <c r="G55" s="450"/>
      <c r="H55"/>
      <c r="I55"/>
      <c r="J55" s="418"/>
      <c r="K55" s="418"/>
      <c r="M55" s="418"/>
      <c r="N55" s="418"/>
      <c r="O55" s="418"/>
      <c r="P55" s="418"/>
      <c r="Q55" s="418"/>
      <c r="R55" s="418"/>
    </row>
    <row r="56" spans="1:18" s="417" customFormat="1">
      <c r="A56" s="10"/>
      <c r="B56" s="653" t="s">
        <v>205</v>
      </c>
      <c r="C56" s="488">
        <f>'W1 Forecast'!C56</f>
        <v>8.9999999999999998E-4</v>
      </c>
      <c r="D56" s="442">
        <f t="shared" si="10"/>
        <v>66.69</v>
      </c>
      <c r="E56" s="448"/>
      <c r="F56" s="449"/>
      <c r="G56" s="450"/>
      <c r="H56"/>
      <c r="I56"/>
      <c r="J56" s="418"/>
      <c r="K56" s="418"/>
      <c r="M56" s="418"/>
      <c r="N56" s="418"/>
      <c r="O56" s="418"/>
      <c r="P56" s="418"/>
      <c r="Q56" s="418"/>
      <c r="R56" s="418"/>
    </row>
    <row r="57" spans="1:18" s="417" customFormat="1">
      <c r="A57" s="10"/>
      <c r="B57" s="653" t="s">
        <v>253</v>
      </c>
      <c r="C57" s="488">
        <f>'W1 Forecast'!C57</f>
        <v>1E-3</v>
      </c>
      <c r="D57" s="442">
        <f t="shared" si="10"/>
        <v>74.100000000000009</v>
      </c>
      <c r="E57" s="448"/>
      <c r="F57" s="449"/>
      <c r="G57" s="450"/>
      <c r="H57"/>
      <c r="I57"/>
      <c r="J57" s="418"/>
      <c r="K57" s="418"/>
      <c r="M57" s="418"/>
      <c r="N57" s="418"/>
      <c r="O57" s="418"/>
      <c r="P57" s="418"/>
      <c r="Q57" s="418"/>
      <c r="R57" s="418"/>
    </row>
    <row r="58" spans="1:18" s="417" customFormat="1">
      <c r="A58" s="10"/>
      <c r="B58" s="653" t="s">
        <v>254</v>
      </c>
      <c r="C58" s="488">
        <f>'W1 Forecast'!C58</f>
        <v>5.0000000000000001E-4</v>
      </c>
      <c r="D58" s="442">
        <f t="shared" si="10"/>
        <v>37.050000000000004</v>
      </c>
      <c r="E58" s="448"/>
      <c r="F58" s="449"/>
      <c r="G58" s="450"/>
      <c r="H58"/>
      <c r="I58"/>
      <c r="J58" s="418"/>
      <c r="K58" s="418"/>
      <c r="M58" s="418"/>
      <c r="N58" s="418"/>
      <c r="O58" s="418"/>
      <c r="P58" s="418"/>
      <c r="Q58" s="418"/>
      <c r="R58" s="418"/>
    </row>
    <row r="59" spans="1:18" s="417" customFormat="1">
      <c r="A59" s="10"/>
      <c r="B59" s="653" t="s">
        <v>255</v>
      </c>
      <c r="C59" s="488">
        <f>'W1 Forecast'!C59</f>
        <v>5.0000000000000001E-4</v>
      </c>
      <c r="D59" s="442">
        <f t="shared" si="10"/>
        <v>37.050000000000004</v>
      </c>
      <c r="E59" s="448"/>
      <c r="F59" s="449"/>
      <c r="G59" s="450"/>
      <c r="H59"/>
      <c r="I59"/>
      <c r="J59" s="418"/>
      <c r="K59" s="418"/>
      <c r="M59" s="418"/>
      <c r="N59" s="418"/>
      <c r="O59" s="418"/>
      <c r="P59" s="418"/>
      <c r="Q59" s="418"/>
      <c r="R59" s="418"/>
    </row>
    <row r="60" spans="1:18" s="417" customFormat="1">
      <c r="A60" s="10"/>
      <c r="B60" s="653" t="s">
        <v>256</v>
      </c>
      <c r="C60" s="488">
        <f>'W1 Forecast'!C60</f>
        <v>1E-3</v>
      </c>
      <c r="D60" s="442">
        <f t="shared" si="10"/>
        <v>74.100000000000009</v>
      </c>
      <c r="E60" s="448"/>
      <c r="F60" s="449"/>
      <c r="G60" s="450"/>
      <c r="H60"/>
      <c r="I60"/>
      <c r="J60" s="418"/>
      <c r="K60" s="418"/>
      <c r="M60" s="418"/>
      <c r="N60" s="418"/>
      <c r="O60" s="418"/>
      <c r="P60" s="418"/>
      <c r="Q60" s="418"/>
      <c r="R60" s="418"/>
    </row>
    <row r="61" spans="1:18" s="417" customFormat="1">
      <c r="A61" s="10"/>
      <c r="B61" s="653" t="s">
        <v>257</v>
      </c>
      <c r="C61" s="488">
        <f>'W1 Forecast'!C61</f>
        <v>1.7399999999999999E-2</v>
      </c>
      <c r="D61" s="442">
        <f t="shared" si="10"/>
        <v>1289.3399999999999</v>
      </c>
      <c r="E61" s="448"/>
      <c r="F61" s="449"/>
      <c r="G61" s="450"/>
      <c r="H61"/>
      <c r="I61"/>
      <c r="J61" s="418"/>
      <c r="K61" s="418"/>
      <c r="M61" s="418"/>
      <c r="N61" s="418"/>
      <c r="O61" s="418"/>
      <c r="P61" s="418"/>
      <c r="Q61" s="418"/>
      <c r="R61" s="418"/>
    </row>
    <row r="62" spans="1:18" s="417" customFormat="1">
      <c r="A62" s="10"/>
      <c r="B62" s="653" t="s">
        <v>258</v>
      </c>
      <c r="C62" s="488">
        <f>'W1 Forecast'!C62</f>
        <v>3.0000000000000001E-3</v>
      </c>
      <c r="D62" s="442">
        <f t="shared" si="10"/>
        <v>222.3</v>
      </c>
      <c r="E62" s="448"/>
      <c r="F62" s="449"/>
      <c r="G62" s="450"/>
      <c r="H62"/>
      <c r="I62"/>
      <c r="J62" s="418"/>
      <c r="K62" s="418"/>
      <c r="M62" s="418"/>
      <c r="N62" s="418"/>
      <c r="O62" s="418"/>
      <c r="P62" s="418"/>
      <c r="Q62" s="418"/>
      <c r="R62" s="418"/>
    </row>
    <row r="63" spans="1:18" ht="15.75" thickBot="1">
      <c r="A63" s="419"/>
      <c r="B63" s="653" t="s">
        <v>259</v>
      </c>
      <c r="C63" s="504">
        <f>'W1 Forecast'!C63</f>
        <v>5.0000000000000001E-4</v>
      </c>
      <c r="D63" s="464">
        <f t="shared" si="10"/>
        <v>37.050000000000004</v>
      </c>
      <c r="E63" s="448"/>
      <c r="F63" s="449"/>
      <c r="G63" s="450"/>
      <c r="J63" s="420"/>
      <c r="K63" s="420"/>
      <c r="M63" s="420"/>
      <c r="N63" s="420"/>
      <c r="O63" s="420"/>
      <c r="P63" s="420"/>
      <c r="Q63" s="420"/>
      <c r="R63" s="420"/>
    </row>
    <row r="64" spans="1:18" ht="15.75" thickBot="1">
      <c r="A64" s="1"/>
      <c r="B64" s="430" t="s">
        <v>0</v>
      </c>
      <c r="C64" s="462">
        <f>D64/I15</f>
        <v>4.2099999999999999E-2</v>
      </c>
      <c r="D64" s="441">
        <f>SUM(D47:D63)</f>
        <v>3119.6099999999997</v>
      </c>
      <c r="E64" s="451"/>
      <c r="F64" s="452"/>
      <c r="G64" s="453"/>
      <c r="H64" s="428"/>
      <c r="I64" s="428"/>
      <c r="J64" s="421"/>
      <c r="K64" s="421"/>
      <c r="M64" s="421"/>
      <c r="N64" s="421"/>
      <c r="O64" s="421"/>
      <c r="P64" s="421"/>
      <c r="Q64" s="421"/>
      <c r="R64" s="422"/>
    </row>
    <row r="65" spans="1:18" ht="15.75" thickBot="1">
      <c r="A65" s="1"/>
      <c r="B65"/>
      <c r="C65" s="433"/>
      <c r="D65" s="8"/>
      <c r="E65" s="454"/>
      <c r="F65" s="449"/>
      <c r="J65" s="421"/>
      <c r="K65" s="421"/>
      <c r="M65" s="421"/>
      <c r="N65" s="421"/>
      <c r="O65" s="421"/>
      <c r="P65" s="421"/>
      <c r="Q65" s="421"/>
      <c r="R65" s="422"/>
    </row>
    <row r="66" spans="1:18">
      <c r="A66" s="1"/>
      <c r="B66" s="19" t="s">
        <v>210</v>
      </c>
      <c r="C66" s="473">
        <f>'W1 Forecast'!C66</f>
        <v>1.04E-2</v>
      </c>
      <c r="D66" s="466">
        <f>$I$15*C66</f>
        <v>770.64</v>
      </c>
      <c r="E66" s="454"/>
      <c r="F66" s="449"/>
      <c r="G66" s="450"/>
      <c r="J66" s="421"/>
      <c r="K66" s="421"/>
      <c r="M66" s="421"/>
      <c r="N66" s="421"/>
      <c r="O66" s="421"/>
      <c r="P66" s="421"/>
      <c r="Q66" s="421"/>
      <c r="R66" s="422"/>
    </row>
    <row r="67" spans="1:18">
      <c r="A67" s="1"/>
      <c r="B67" s="19" t="s">
        <v>211</v>
      </c>
      <c r="C67" s="436">
        <f>'W1 Forecast'!C67</f>
        <v>7.4999999999999997E-3</v>
      </c>
      <c r="D67" s="442">
        <f t="shared" ref="D67:D69" si="11">$I$15*C67</f>
        <v>555.75</v>
      </c>
      <c r="E67" s="454"/>
      <c r="F67" s="449"/>
      <c r="G67" s="450"/>
      <c r="J67" s="421"/>
      <c r="K67" s="421"/>
      <c r="M67" s="421"/>
      <c r="N67" s="421"/>
      <c r="O67" s="421"/>
      <c r="P67" s="421"/>
      <c r="Q67" s="421"/>
      <c r="R67" s="422"/>
    </row>
    <row r="68" spans="1:18">
      <c r="A68" s="1"/>
      <c r="B68" s="19" t="s">
        <v>212</v>
      </c>
      <c r="C68" s="436">
        <f>'W1 Forecast'!C68</f>
        <v>1.3899999999999999E-2</v>
      </c>
      <c r="D68" s="442">
        <f t="shared" si="11"/>
        <v>1029.99</v>
      </c>
      <c r="E68" s="454"/>
      <c r="F68" s="449"/>
      <c r="G68" s="450"/>
      <c r="J68" s="421"/>
      <c r="K68" s="421"/>
      <c r="M68" s="421"/>
      <c r="N68" s="421"/>
      <c r="O68" s="421"/>
      <c r="P68" s="421"/>
      <c r="Q68" s="421"/>
      <c r="R68" s="422"/>
    </row>
    <row r="69" spans="1:18" ht="15.75" thickBot="1">
      <c r="A69" s="1"/>
      <c r="B69" s="19" t="s">
        <v>213</v>
      </c>
      <c r="C69" s="503">
        <f>'W1 Forecast'!C69</f>
        <v>0.04</v>
      </c>
      <c r="D69" s="464">
        <f t="shared" si="11"/>
        <v>2964</v>
      </c>
      <c r="E69" s="454"/>
      <c r="F69" s="449"/>
      <c r="G69" s="450"/>
      <c r="J69" s="421"/>
      <c r="K69" s="421"/>
      <c r="M69" s="421"/>
      <c r="N69" s="421"/>
      <c r="O69" s="421"/>
      <c r="P69" s="421"/>
      <c r="Q69" s="421"/>
      <c r="R69" s="422"/>
    </row>
    <row r="70" spans="1:18" ht="15.75" thickBot="1">
      <c r="A70" s="1"/>
      <c r="B70" s="430" t="s">
        <v>214</v>
      </c>
      <c r="C70" s="462">
        <f>D70/I15</f>
        <v>7.1800000000000003E-2</v>
      </c>
      <c r="D70" s="502">
        <f>SUM(D66:D69)</f>
        <v>5320.38</v>
      </c>
      <c r="E70" s="451"/>
      <c r="F70" s="452"/>
      <c r="G70" s="453"/>
      <c r="H70" s="428"/>
      <c r="I70" s="428"/>
      <c r="J70" s="421"/>
      <c r="K70" s="421"/>
      <c r="M70" s="421"/>
      <c r="N70" s="421"/>
      <c r="O70" s="421"/>
      <c r="P70" s="421"/>
      <c r="Q70" s="421"/>
      <c r="R70" s="422"/>
    </row>
    <row r="71" spans="1:18" ht="15.75" thickBot="1">
      <c r="A71" s="1"/>
      <c r="B71"/>
      <c r="C71" s="433"/>
      <c r="D71" s="8"/>
      <c r="F71" s="449"/>
      <c r="J71" s="421"/>
      <c r="K71" s="421"/>
      <c r="M71" s="421"/>
      <c r="N71" s="421"/>
      <c r="O71" s="421"/>
      <c r="P71" s="421"/>
      <c r="Q71" s="421"/>
      <c r="R71" s="422"/>
    </row>
    <row r="72" spans="1:18" ht="15.75">
      <c r="A72" s="419"/>
      <c r="B72" s="431" t="s">
        <v>215</v>
      </c>
      <c r="C72" s="434" t="s">
        <v>13</v>
      </c>
      <c r="D72" s="429" t="s">
        <v>12</v>
      </c>
      <c r="E72" s="446"/>
      <c r="F72" s="447"/>
      <c r="G72" s="446"/>
      <c r="H72" s="428"/>
      <c r="I72" s="428"/>
      <c r="J72" s="422"/>
      <c r="K72" s="422"/>
      <c r="M72" s="422"/>
      <c r="N72" s="422"/>
      <c r="O72" s="422"/>
      <c r="P72" s="422"/>
      <c r="Q72" s="422"/>
      <c r="R72" s="422"/>
    </row>
    <row r="73" spans="1:18">
      <c r="A73" s="1"/>
      <c r="B73" s="19" t="s">
        <v>216</v>
      </c>
      <c r="C73" s="444">
        <f>D73/I15</f>
        <v>2.6278306342780028E-2</v>
      </c>
      <c r="D73" s="432">
        <f>'W1 Forecast'!D73</f>
        <v>1947.2225000000001</v>
      </c>
      <c r="E73" s="454"/>
      <c r="F73" s="463">
        <f>'W1 Forecast'!F73</f>
        <v>7788.89</v>
      </c>
      <c r="G73" s="463">
        <f>'W1 Forecast'!G73</f>
        <v>1947.2225000000001</v>
      </c>
      <c r="J73" s="421"/>
      <c r="K73" s="421"/>
      <c r="M73" s="421"/>
      <c r="N73" s="421"/>
      <c r="O73" s="421"/>
      <c r="P73" s="421"/>
      <c r="Q73" s="421"/>
      <c r="R73" s="422"/>
    </row>
    <row r="74" spans="1:18">
      <c r="A74" s="1"/>
      <c r="B74" s="19" t="s">
        <v>17</v>
      </c>
      <c r="C74" s="436">
        <f>D74/I15</f>
        <v>3.7631039136302294E-2</v>
      </c>
      <c r="D74" s="442">
        <f>'W1 Forecast'!D74</f>
        <v>2788.46</v>
      </c>
      <c r="E74" s="454"/>
      <c r="F74" s="449"/>
      <c r="G74" s="450"/>
      <c r="J74" s="421"/>
      <c r="K74" s="421"/>
      <c r="M74" s="421"/>
      <c r="N74" s="421"/>
      <c r="O74" s="421"/>
      <c r="P74" s="421"/>
      <c r="Q74" s="421"/>
      <c r="R74" s="422"/>
    </row>
    <row r="75" spans="1:18">
      <c r="A75" s="1"/>
      <c r="B75" s="19" t="s">
        <v>217</v>
      </c>
      <c r="C75" s="436">
        <f>'W1 Forecast'!C75</f>
        <v>8.8300000000000003E-2</v>
      </c>
      <c r="D75" s="442">
        <f>I15*C75</f>
        <v>6543.0300000000007</v>
      </c>
      <c r="E75" s="454"/>
      <c r="F75" s="449"/>
      <c r="G75" s="450"/>
      <c r="M75" s="421"/>
      <c r="N75" s="421"/>
      <c r="O75" s="421"/>
      <c r="P75" s="421"/>
      <c r="Q75" s="421"/>
      <c r="R75" s="422"/>
    </row>
    <row r="76" spans="1:18">
      <c r="A76" s="1"/>
      <c r="B76" s="19" t="s">
        <v>16</v>
      </c>
      <c r="C76" s="436">
        <f>D76/I15</f>
        <v>3.1246693657219975E-2</v>
      </c>
      <c r="D76" s="442">
        <f>'W1 Forecast'!D76</f>
        <v>2315.38</v>
      </c>
      <c r="E76" s="454"/>
      <c r="F76" s="449"/>
      <c r="M76" s="421"/>
      <c r="N76" s="421"/>
      <c r="O76" s="421"/>
      <c r="P76" s="421"/>
      <c r="Q76" s="421"/>
      <c r="R76" s="422"/>
    </row>
    <row r="77" spans="1:18">
      <c r="A77" s="1"/>
      <c r="B77" s="19" t="s">
        <v>218</v>
      </c>
      <c r="C77" s="436">
        <f>'W1 Forecast'!C77</f>
        <v>8.4800000000000014E-2</v>
      </c>
      <c r="D77" s="442">
        <f>I15*C77</f>
        <v>6283.6800000000012</v>
      </c>
      <c r="E77" s="454"/>
      <c r="F77" s="459"/>
      <c r="G77" s="450"/>
      <c r="M77" s="421"/>
      <c r="N77" s="421"/>
      <c r="O77" s="421"/>
      <c r="P77" s="421"/>
      <c r="Q77" s="421"/>
      <c r="R77" s="422"/>
    </row>
    <row r="78" spans="1:18">
      <c r="A78" s="1"/>
      <c r="B78" s="19" t="s">
        <v>219</v>
      </c>
      <c r="C78" s="444">
        <f>D78/I15</f>
        <v>0</v>
      </c>
      <c r="D78" s="445">
        <f>'W1 Forecast'!D78</f>
        <v>0</v>
      </c>
      <c r="E78" s="454"/>
      <c r="F78" s="463">
        <f>'W1 Forecast'!F78</f>
        <v>0</v>
      </c>
      <c r="G78" s="463">
        <f>'W1 Forecast'!G78</f>
        <v>0</v>
      </c>
      <c r="M78" s="421"/>
      <c r="N78" s="421"/>
      <c r="O78" s="421"/>
      <c r="P78" s="421"/>
      <c r="Q78" s="421"/>
      <c r="R78" s="422"/>
    </row>
    <row r="79" spans="1:18" ht="15.75" thickBot="1">
      <c r="A79" s="419"/>
      <c r="B79" s="19" t="s">
        <v>220</v>
      </c>
      <c r="C79" s="460">
        <f>D79/I15</f>
        <v>6.0981407894736842E-2</v>
      </c>
      <c r="D79" s="461">
        <f>'W1 Forecast'!D79</f>
        <v>4518.7223249999997</v>
      </c>
      <c r="E79" s="455" t="s">
        <v>220</v>
      </c>
      <c r="F79" s="449">
        <f>'W1 Forecast'!F79</f>
        <v>0.2525</v>
      </c>
      <c r="G79" s="426">
        <f>'W1 Forecast'!G79</f>
        <v>0</v>
      </c>
      <c r="H79" s="426">
        <f>'W1 Forecast'!H79</f>
        <v>0</v>
      </c>
      <c r="M79" s="422"/>
      <c r="N79" s="422"/>
      <c r="O79" s="422"/>
      <c r="P79" s="422"/>
      <c r="Q79" s="422"/>
      <c r="R79" s="422"/>
    </row>
    <row r="80" spans="1:18" ht="15.75" thickBot="1">
      <c r="A80" s="419"/>
      <c r="B80" s="430" t="s">
        <v>18</v>
      </c>
      <c r="C80" s="462">
        <f>D80/I15</f>
        <v>0.32923744703103913</v>
      </c>
      <c r="D80" s="441">
        <f>SUM(D73:D79)</f>
        <v>24396.494825000002</v>
      </c>
      <c r="E80" s="453"/>
      <c r="F80" s="452"/>
      <c r="G80" s="453"/>
      <c r="H80" s="428"/>
      <c r="I80" s="428"/>
      <c r="M80" s="422"/>
      <c r="N80" s="422"/>
      <c r="O80" s="422"/>
      <c r="P80" s="422"/>
      <c r="Q80" s="422"/>
      <c r="R80" s="422"/>
    </row>
    <row r="81" spans="1:11" ht="15.75" thickBot="1">
      <c r="A81" s="3"/>
      <c r="B81"/>
      <c r="C81" s="433"/>
      <c r="D81" s="8"/>
      <c r="F81" s="449"/>
    </row>
    <row r="82" spans="1:11">
      <c r="A82" s="3"/>
      <c r="B82" s="19" t="s">
        <v>221</v>
      </c>
      <c r="C82" s="437">
        <f>'W1 Forecast'!C82</f>
        <v>8.4099999999999994E-2</v>
      </c>
      <c r="D82" s="443">
        <f>I15*C82</f>
        <v>6231.8099999999995</v>
      </c>
      <c r="E82" s="456"/>
      <c r="F82" s="449"/>
      <c r="G82" s="450"/>
    </row>
    <row r="83" spans="1:11">
      <c r="A83" s="3"/>
      <c r="B83" s="19" t="s">
        <v>166</v>
      </c>
      <c r="C83" s="436">
        <f>'W1 Forecast'!C83</f>
        <v>1.0999999999999999E-2</v>
      </c>
      <c r="D83" s="442">
        <f>I15*C83</f>
        <v>815.09999999999991</v>
      </c>
      <c r="E83" s="456"/>
      <c r="F83" s="449"/>
      <c r="G83" s="450"/>
    </row>
    <row r="84" spans="1:11" ht="15.75" thickBot="1">
      <c r="A84" s="3"/>
      <c r="B84" s="19" t="s">
        <v>222</v>
      </c>
      <c r="C84" s="460">
        <f>D84/I15</f>
        <v>0.12230094466936572</v>
      </c>
      <c r="D84" s="440">
        <f>G85</f>
        <v>9062.5</v>
      </c>
      <c r="E84" s="456"/>
      <c r="F84" s="449" t="s">
        <v>222</v>
      </c>
      <c r="G84" s="426">
        <f>'W1 Forecast'!G84</f>
        <v>36250</v>
      </c>
      <c r="H84" t="s">
        <v>223</v>
      </c>
      <c r="I84" t="s">
        <v>223</v>
      </c>
      <c r="K84">
        <f>'W1 Forecast'!K84</f>
        <v>0</v>
      </c>
    </row>
    <row r="85" spans="1:11" ht="15.75" thickBot="1">
      <c r="A85" s="3"/>
      <c r="B85" s="430" t="s">
        <v>224</v>
      </c>
      <c r="C85" s="462">
        <f>D85/I15</f>
        <v>0.21740094466936571</v>
      </c>
      <c r="D85" s="441">
        <f>SUM(D82:D84)</f>
        <v>16109.41</v>
      </c>
      <c r="E85" s="451"/>
      <c r="F85" s="452"/>
      <c r="G85" s="427">
        <f>'W1 Forecast'!G85</f>
        <v>9062.5</v>
      </c>
      <c r="H85" s="428"/>
      <c r="I85" s="428"/>
    </row>
    <row r="86" spans="1:11">
      <c r="A86" s="3"/>
      <c r="B86"/>
      <c r="C86" s="433"/>
      <c r="D86" s="8"/>
      <c r="F86" s="449"/>
    </row>
    <row r="87" spans="1:11">
      <c r="A87" s="3"/>
      <c r="B87"/>
      <c r="C87" s="438" t="s">
        <v>13</v>
      </c>
      <c r="D87" s="439" t="s">
        <v>12</v>
      </c>
      <c r="E87" s="18"/>
      <c r="F87" s="457"/>
      <c r="G87" s="18"/>
    </row>
    <row r="88" spans="1:11" ht="15.75" thickBot="1">
      <c r="A88" s="3"/>
      <c r="B88" s="430" t="s">
        <v>225</v>
      </c>
      <c r="C88" s="435">
        <f>D88/I15</f>
        <v>6.2097608299595056E-2</v>
      </c>
      <c r="D88" s="465">
        <f>I15-G88</f>
        <v>4601.4327749999939</v>
      </c>
      <c r="E88" s="453"/>
      <c r="F88" s="458" t="s">
        <v>193</v>
      </c>
      <c r="G88" s="453">
        <f>D85+D80+D70+D64+K26</f>
        <v>69498.567225000006</v>
      </c>
      <c r="H88" s="428"/>
      <c r="I88" s="428"/>
    </row>
  </sheetData>
  <mergeCells count="7">
    <mergeCell ref="K17:L17"/>
    <mergeCell ref="F2:G2"/>
    <mergeCell ref="C5:I5"/>
    <mergeCell ref="C17:F17"/>
    <mergeCell ref="H17:J17"/>
    <mergeCell ref="F6:I6"/>
    <mergeCell ref="C6:E6"/>
  </mergeCells>
  <phoneticPr fontId="0" type="noConversion"/>
  <pageMargins left="0.15" right="0.14000000000000001" top="0.16" bottom="0.15" header="0.14000000000000001" footer="0.13"/>
  <pageSetup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R150"/>
  <sheetViews>
    <sheetView topLeftCell="A10" zoomScale="80" zoomScaleNormal="80" workbookViewId="0">
      <selection activeCell="Q23" sqref="Q23"/>
    </sheetView>
  </sheetViews>
  <sheetFormatPr defaultColWidth="12.5703125" defaultRowHeight="12.75"/>
  <cols>
    <col min="1" max="1" width="1.7109375" style="38" customWidth="1"/>
    <col min="2" max="3" width="12.5703125" style="38"/>
    <col min="4" max="4" width="10.7109375" style="37" customWidth="1"/>
    <col min="5" max="5" width="14.7109375" style="37" customWidth="1"/>
    <col min="6" max="6" width="12.28515625" style="38" customWidth="1"/>
    <col min="7" max="7" width="11.140625" style="38" customWidth="1"/>
    <col min="8" max="8" width="10.7109375" style="38" customWidth="1"/>
    <col min="9" max="9" width="12.28515625" style="38" customWidth="1"/>
    <col min="10" max="10" width="11.140625" style="38" customWidth="1"/>
    <col min="11" max="11" width="10.7109375" style="38" customWidth="1"/>
    <col min="12" max="12" width="11.28515625" style="38" customWidth="1"/>
    <col min="13" max="13" width="10.7109375" style="38" customWidth="1"/>
    <col min="14" max="14" width="11.28515625" style="38" customWidth="1"/>
    <col min="15" max="15" width="12" style="38" customWidth="1"/>
    <col min="16" max="16" width="10.7109375" style="38" customWidth="1"/>
    <col min="17" max="17" width="11" style="38" customWidth="1"/>
    <col min="18" max="16384" width="12.5703125" style="38"/>
  </cols>
  <sheetData>
    <row r="1" spans="2:17">
      <c r="B1" s="38" t="s">
        <v>19</v>
      </c>
      <c r="F1" s="1" t="s">
        <v>19</v>
      </c>
      <c r="G1" s="914" t="s">
        <v>19</v>
      </c>
      <c r="H1" s="914"/>
    </row>
    <row r="2" spans="2:17" ht="13.5" thickBot="1">
      <c r="E2" s="930" t="s">
        <v>41</v>
      </c>
      <c r="F2" s="930"/>
      <c r="G2" s="930"/>
      <c r="H2" s="930"/>
      <c r="I2" s="930"/>
      <c r="J2" s="930"/>
      <c r="K2" s="202"/>
      <c r="L2" s="202"/>
      <c r="M2" s="235" t="s">
        <v>59</v>
      </c>
      <c r="N2" s="236"/>
      <c r="O2" s="235" t="s">
        <v>49</v>
      </c>
      <c r="Q2" s="235" t="s">
        <v>51</v>
      </c>
    </row>
    <row r="3" spans="2:17" ht="13.5" thickBot="1">
      <c r="F3" s="39"/>
      <c r="G3" s="39"/>
      <c r="H3" s="39"/>
      <c r="L3" s="231" t="s">
        <v>175</v>
      </c>
      <c r="M3" s="268">
        <f>+E17*N3</f>
        <v>0</v>
      </c>
      <c r="N3" s="269">
        <f>'W1 Cost &amp; Sales'!N3</f>
        <v>1.6200000000000003E-2</v>
      </c>
      <c r="O3" s="270">
        <f>'Entry Sheet '!H16+'Entry Sheet '!H18+'Entry Sheet '!H19+'Entry Sheet '!H20+'Entry Sheet '!H21+'Entry Sheet '!H28</f>
        <v>0</v>
      </c>
      <c r="P3" s="269" t="e">
        <f>+O3/E17</f>
        <v>#DIV/0!</v>
      </c>
      <c r="Q3" s="271">
        <f>+O3-M3</f>
        <v>0</v>
      </c>
    </row>
    <row r="4" spans="2:17" ht="15.75" customHeight="1" thickBot="1">
      <c r="D4" s="1" t="s">
        <v>20</v>
      </c>
      <c r="E4" s="901" t="str">
        <f>'W1 Forecast'!F2</f>
        <v>Max Fish</v>
      </c>
      <c r="F4" s="902"/>
      <c r="H4" s="1" t="s">
        <v>42</v>
      </c>
      <c r="I4" s="164">
        <f>H17</f>
        <v>0</v>
      </c>
      <c r="J4" s="165" t="e">
        <f>I4/E17</f>
        <v>#DIV/0!</v>
      </c>
      <c r="L4" s="231" t="s">
        <v>176</v>
      </c>
      <c r="M4" s="272">
        <f>+E17*N4</f>
        <v>0</v>
      </c>
      <c r="N4" s="273">
        <f>'W1 Cost &amp; Sales'!N4</f>
        <v>2.5899999999999999E-2</v>
      </c>
      <c r="O4" s="274">
        <f>'Entry Sheet '!H17+'Entry Sheet '!H22+'Entry Sheet '!H23+'Entry Sheet '!H24+'Entry Sheet '!H25+'Entry Sheet '!H26+'Entry Sheet '!H27+'Entry Sheet '!H29+'Entry Sheet '!H30+'Entry Sheet '!H31+'Entry Sheet '!H32</f>
        <v>0</v>
      </c>
      <c r="P4" s="273" t="e">
        <f>+O4/E17</f>
        <v>#DIV/0!</v>
      </c>
      <c r="Q4" s="275">
        <f>+O4-M4</f>
        <v>0</v>
      </c>
    </row>
    <row r="5" spans="2:17" ht="15.75" customHeight="1" thickBot="1">
      <c r="D5" s="1" t="s">
        <v>44</v>
      </c>
      <c r="E5" s="903">
        <f>'W4 Forecast '!J14</f>
        <v>44248</v>
      </c>
      <c r="F5" s="904"/>
      <c r="H5" s="1" t="s">
        <v>43</v>
      </c>
      <c r="I5" s="166">
        <f>+I50</f>
        <v>5103.84</v>
      </c>
      <c r="J5" s="167" t="e">
        <f>I5/E17</f>
        <v>#DIV/0!</v>
      </c>
      <c r="L5" s="231" t="s">
        <v>191</v>
      </c>
      <c r="M5" s="276">
        <f>+M4+M3</f>
        <v>0</v>
      </c>
      <c r="N5" s="277" t="e">
        <f>+M5/E17</f>
        <v>#DIV/0!</v>
      </c>
      <c r="O5" s="278">
        <f>+O4+O3</f>
        <v>0</v>
      </c>
      <c r="P5" s="277" t="e">
        <f>+O5/E17</f>
        <v>#DIV/0!</v>
      </c>
      <c r="Q5" s="279">
        <f>+O5-M5</f>
        <v>0</v>
      </c>
    </row>
    <row r="6" spans="2:17" ht="13.5" thickBot="1">
      <c r="D6" s="145">
        <f>'W1 Forecast'!E3</f>
        <v>2</v>
      </c>
      <c r="E6" s="144" t="s">
        <v>87</v>
      </c>
      <c r="F6" s="149">
        <f>'W4 Forecast '!G3</f>
        <v>4</v>
      </c>
      <c r="H6" s="1" t="s">
        <v>45</v>
      </c>
      <c r="I6" s="168">
        <f>+SUM(I4:I5)</f>
        <v>5103.84</v>
      </c>
      <c r="J6" s="169" t="e">
        <f>I6/E17</f>
        <v>#DIV/0!</v>
      </c>
      <c r="L6" s="231" t="s">
        <v>192</v>
      </c>
      <c r="M6" s="280">
        <f>+E17-M5</f>
        <v>0</v>
      </c>
      <c r="N6" s="281"/>
      <c r="O6" s="282"/>
      <c r="P6" s="281"/>
      <c r="Q6" s="282"/>
    </row>
    <row r="7" spans="2:17">
      <c r="H7" s="39"/>
      <c r="I7" s="1"/>
    </row>
    <row r="8" spans="2:17" ht="6.75" customHeight="1" thickBot="1">
      <c r="F8" s="40" t="s">
        <v>19</v>
      </c>
      <c r="G8" s="41" t="s">
        <v>19</v>
      </c>
      <c r="H8" s="41"/>
      <c r="I8" s="42"/>
      <c r="J8" s="43"/>
      <c r="K8" s="44"/>
      <c r="L8" s="37"/>
      <c r="M8" s="37"/>
    </row>
    <row r="9" spans="2:17" s="37" customFormat="1" ht="19.5" customHeight="1" thickBot="1">
      <c r="B9" s="915" t="s">
        <v>82</v>
      </c>
      <c r="C9" s="916"/>
      <c r="D9" s="1"/>
      <c r="E9" s="917" t="s">
        <v>19</v>
      </c>
      <c r="F9" s="918"/>
      <c r="G9" s="919"/>
      <c r="H9" s="920" t="s">
        <v>46</v>
      </c>
      <c r="I9" s="921"/>
      <c r="J9" s="921"/>
      <c r="K9" s="921"/>
      <c r="L9" s="921"/>
      <c r="M9" s="922"/>
      <c r="N9" s="923" t="s">
        <v>1</v>
      </c>
      <c r="O9" s="924"/>
      <c r="P9" s="924"/>
      <c r="Q9" s="925"/>
    </row>
    <row r="10" spans="2:17" s="37" customFormat="1" ht="19.5" customHeight="1" thickBot="1">
      <c r="B10" s="181" t="s">
        <v>83</v>
      </c>
      <c r="C10" s="182" t="s">
        <v>84</v>
      </c>
      <c r="D10" s="1"/>
      <c r="E10" s="183" t="s">
        <v>47</v>
      </c>
      <c r="F10" s="184" t="s">
        <v>48</v>
      </c>
      <c r="G10" s="749" t="s">
        <v>38</v>
      </c>
      <c r="H10" s="736" t="s">
        <v>49</v>
      </c>
      <c r="I10" s="185" t="s">
        <v>38</v>
      </c>
      <c r="J10" s="186" t="s">
        <v>50</v>
      </c>
      <c r="K10" s="187" t="s">
        <v>38</v>
      </c>
      <c r="L10" s="750" t="s">
        <v>51</v>
      </c>
      <c r="M10" s="187" t="s">
        <v>38</v>
      </c>
      <c r="N10" s="183" t="s">
        <v>47</v>
      </c>
      <c r="O10" s="184" t="s">
        <v>51</v>
      </c>
      <c r="P10" s="184" t="s">
        <v>80</v>
      </c>
      <c r="Q10" s="188" t="s">
        <v>51</v>
      </c>
    </row>
    <row r="11" spans="2:17" ht="17.45" customHeight="1" thickBot="1">
      <c r="B11" s="172">
        <f>B26</f>
        <v>0</v>
      </c>
      <c r="C11" s="175">
        <f>C26</f>
        <v>0</v>
      </c>
      <c r="D11" s="1" t="s">
        <v>29</v>
      </c>
      <c r="E11" s="170">
        <f>'Entry Sheet '!H8</f>
        <v>0</v>
      </c>
      <c r="F11" s="171">
        <f>F26</f>
        <v>0</v>
      </c>
      <c r="G11" s="124" t="e">
        <f t="shared" ref="G11:G17" si="0">F11/E11</f>
        <v>#DIV/0!</v>
      </c>
      <c r="H11" s="45">
        <f>+B11+F11-C11</f>
        <v>0</v>
      </c>
      <c r="I11" s="125" t="e">
        <f t="shared" ref="I11:I17" si="1">H11/E11</f>
        <v>#DIV/0!</v>
      </c>
      <c r="J11" s="45">
        <f>J26</f>
        <v>0</v>
      </c>
      <c r="K11" s="47" t="e">
        <f t="shared" ref="K11:K17" si="2">J11/E11</f>
        <v>#DIV/0!</v>
      </c>
      <c r="L11" s="46">
        <f>H11-J11</f>
        <v>0</v>
      </c>
      <c r="M11" s="47" t="e">
        <f t="shared" ref="M11:M17" si="3">L11/E11</f>
        <v>#DIV/0!</v>
      </c>
      <c r="N11" s="105">
        <f>'W4 Forecast '!I20</f>
        <v>48268.74</v>
      </c>
      <c r="O11" s="106">
        <f t="shared" ref="O11:O16" si="4">+E11-N11</f>
        <v>-48268.74</v>
      </c>
      <c r="P11" s="107">
        <f>'W4 Forecast '!L20*'W4 Cost &amp; Sales'!E11</f>
        <v>0</v>
      </c>
      <c r="Q11" s="108">
        <f t="shared" ref="Q11:Q16" si="5">+H11-P11</f>
        <v>0</v>
      </c>
    </row>
    <row r="12" spans="2:17" ht="17.45" customHeight="1">
      <c r="B12" s="173">
        <f>'W3 Cost &amp; Sales '!C12</f>
        <v>0</v>
      </c>
      <c r="C12" s="180">
        <f>'Entry Sheet '!H114</f>
        <v>0</v>
      </c>
      <c r="D12" s="1" t="s">
        <v>24</v>
      </c>
      <c r="E12" s="170">
        <f>'Entry Sheet '!H9</f>
        <v>0</v>
      </c>
      <c r="F12" s="49">
        <f>'Entry Sheet '!H96</f>
        <v>0</v>
      </c>
      <c r="G12" s="62" t="e">
        <f t="shared" si="0"/>
        <v>#DIV/0!</v>
      </c>
      <c r="H12" s="48">
        <f>+B12+F12-C12</f>
        <v>0</v>
      </c>
      <c r="I12" s="51" t="e">
        <f t="shared" si="1"/>
        <v>#DIV/0!</v>
      </c>
      <c r="J12" s="48">
        <f>'Entry Sheet '!H127</f>
        <v>0</v>
      </c>
      <c r="K12" s="50" t="e">
        <f t="shared" si="2"/>
        <v>#DIV/0!</v>
      </c>
      <c r="L12" s="52">
        <f>H12-J12</f>
        <v>0</v>
      </c>
      <c r="M12" s="50" t="e">
        <f t="shared" si="3"/>
        <v>#DIV/0!</v>
      </c>
      <c r="N12" s="105">
        <f>'W4 Forecast '!I21</f>
        <v>7654.5300000000007</v>
      </c>
      <c r="O12" s="100">
        <f t="shared" si="4"/>
        <v>-7654.5300000000007</v>
      </c>
      <c r="P12" s="107">
        <f>'W4 Forecast '!L21*'W4 Cost &amp; Sales'!E12</f>
        <v>0</v>
      </c>
      <c r="Q12" s="102">
        <f t="shared" si="5"/>
        <v>0</v>
      </c>
    </row>
    <row r="13" spans="2:17" ht="17.45" customHeight="1">
      <c r="B13" s="173">
        <f>'W3 Cost &amp; Sales '!C13</f>
        <v>0</v>
      </c>
      <c r="C13" s="176">
        <f>'Entry Sheet '!H115</f>
        <v>0</v>
      </c>
      <c r="D13" s="1" t="s">
        <v>25</v>
      </c>
      <c r="E13" s="170">
        <f>'Entry Sheet '!H10</f>
        <v>0</v>
      </c>
      <c r="F13" s="49">
        <f>'Entry Sheet '!H97</f>
        <v>0</v>
      </c>
      <c r="G13" s="62" t="e">
        <f t="shared" si="0"/>
        <v>#DIV/0!</v>
      </c>
      <c r="H13" s="48">
        <f>+B13+F13-C13</f>
        <v>0</v>
      </c>
      <c r="I13" s="51" t="e">
        <f t="shared" si="1"/>
        <v>#DIV/0!</v>
      </c>
      <c r="J13" s="48">
        <f>'Entry Sheet '!H128</f>
        <v>0</v>
      </c>
      <c r="K13" s="50" t="e">
        <f t="shared" si="2"/>
        <v>#DIV/0!</v>
      </c>
      <c r="L13" s="52">
        <f>H13-J13</f>
        <v>0</v>
      </c>
      <c r="M13" s="50" t="e">
        <f t="shared" si="3"/>
        <v>#DIV/0!</v>
      </c>
      <c r="N13" s="105">
        <f>'W4 Forecast '!I22</f>
        <v>3593.85</v>
      </c>
      <c r="O13" s="100">
        <f t="shared" si="4"/>
        <v>-3593.85</v>
      </c>
      <c r="P13" s="107">
        <f>'W4 Forecast '!L22*'W4 Cost &amp; Sales'!E13</f>
        <v>0</v>
      </c>
      <c r="Q13" s="102">
        <f t="shared" si="5"/>
        <v>0</v>
      </c>
    </row>
    <row r="14" spans="2:17" ht="17.45" customHeight="1">
      <c r="B14" s="173">
        <f>'W3 Cost &amp; Sales '!C14</f>
        <v>0</v>
      </c>
      <c r="C14" s="176">
        <f>'Entry Sheet '!H116</f>
        <v>0</v>
      </c>
      <c r="D14" s="1" t="s">
        <v>26</v>
      </c>
      <c r="E14" s="170">
        <f>'Entry Sheet '!H11</f>
        <v>0</v>
      </c>
      <c r="F14" s="49">
        <f>'Entry Sheet '!H98</f>
        <v>0</v>
      </c>
      <c r="G14" s="62" t="e">
        <f t="shared" si="0"/>
        <v>#DIV/0!</v>
      </c>
      <c r="H14" s="48">
        <f>+B14+F14-C14</f>
        <v>0</v>
      </c>
      <c r="I14" s="51" t="e">
        <f t="shared" si="1"/>
        <v>#DIV/0!</v>
      </c>
      <c r="J14" s="48">
        <f>'Entry Sheet '!H129</f>
        <v>0</v>
      </c>
      <c r="K14" s="50" t="e">
        <f t="shared" si="2"/>
        <v>#DIV/0!</v>
      </c>
      <c r="L14" s="52">
        <f>H14-J14</f>
        <v>0</v>
      </c>
      <c r="M14" s="50" t="e">
        <f t="shared" si="3"/>
        <v>#DIV/0!</v>
      </c>
      <c r="N14" s="105">
        <f>'W4 Forecast '!I23</f>
        <v>12478.439999999999</v>
      </c>
      <c r="O14" s="100">
        <f t="shared" si="4"/>
        <v>-12478.439999999999</v>
      </c>
      <c r="P14" s="107">
        <f>'W4 Forecast '!L23*'W4 Cost &amp; Sales'!E14</f>
        <v>0</v>
      </c>
      <c r="Q14" s="102">
        <f t="shared" si="5"/>
        <v>0</v>
      </c>
    </row>
    <row r="15" spans="2:17" ht="17.45" customHeight="1">
      <c r="B15" s="173">
        <f>'W3 Cost &amp; Sales '!C15</f>
        <v>0</v>
      </c>
      <c r="C15" s="730">
        <f>'Entry Sheet '!H117</f>
        <v>0</v>
      </c>
      <c r="D15" s="1" t="s">
        <v>85</v>
      </c>
      <c r="E15" s="110">
        <f>'Entry Sheet '!H12</f>
        <v>0</v>
      </c>
      <c r="F15" s="49">
        <f>'Entry Sheet '!H99</f>
        <v>0</v>
      </c>
      <c r="G15" s="62" t="e">
        <f t="shared" si="0"/>
        <v>#DIV/0!</v>
      </c>
      <c r="H15" s="48">
        <f>+B15+F15-C15</f>
        <v>0</v>
      </c>
      <c r="I15" s="51" t="e">
        <f t="shared" si="1"/>
        <v>#DIV/0!</v>
      </c>
      <c r="J15" s="48">
        <f>'Entry Sheet '!H130</f>
        <v>0</v>
      </c>
      <c r="K15" s="50" t="e">
        <f t="shared" si="2"/>
        <v>#DIV/0!</v>
      </c>
      <c r="L15" s="52">
        <f>H15-J15</f>
        <v>0</v>
      </c>
      <c r="M15" s="50" t="e">
        <f t="shared" si="3"/>
        <v>#DIV/0!</v>
      </c>
      <c r="N15" s="105">
        <f>'W4 Forecast '!I24</f>
        <v>2104.44</v>
      </c>
      <c r="O15" s="100">
        <f t="shared" si="4"/>
        <v>-2104.44</v>
      </c>
      <c r="P15" s="107">
        <f>'W4 Forecast '!L24*'W4 Cost &amp; Sales'!E15</f>
        <v>0</v>
      </c>
      <c r="Q15" s="102">
        <f t="shared" si="5"/>
        <v>0</v>
      </c>
    </row>
    <row r="16" spans="2:17" ht="17.45" customHeight="1" thickBot="1">
      <c r="B16" s="194"/>
      <c r="C16" s="741"/>
      <c r="D16" s="1" t="s">
        <v>241</v>
      </c>
      <c r="E16" s="117">
        <f>'Entry Sheet '!H13</f>
        <v>0</v>
      </c>
      <c r="F16" s="731"/>
      <c r="G16" s="747"/>
      <c r="H16" s="732"/>
      <c r="I16" s="733"/>
      <c r="J16" s="732"/>
      <c r="K16" s="735"/>
      <c r="L16" s="734"/>
      <c r="M16" s="735"/>
      <c r="N16" s="737">
        <f>'W4 Forecast '!I25</f>
        <v>0</v>
      </c>
      <c r="O16" s="103">
        <f t="shared" si="4"/>
        <v>0</v>
      </c>
      <c r="P16" s="738">
        <f>'W4 Forecast '!L25*'W4 Cost &amp; Sales'!E16</f>
        <v>0</v>
      </c>
      <c r="Q16" s="104">
        <f t="shared" si="5"/>
        <v>0</v>
      </c>
    </row>
    <row r="17" spans="2:17" s="37" customFormat="1" ht="19.5" customHeight="1" thickBot="1">
      <c r="B17" s="739">
        <f>SUM(B11:B16)</f>
        <v>0</v>
      </c>
      <c r="C17" s="740">
        <f>SUM(C11:C16)</f>
        <v>0</v>
      </c>
      <c r="D17" s="1" t="s">
        <v>0</v>
      </c>
      <c r="E17" s="117">
        <f>SUM(E11:E16)</f>
        <v>0</v>
      </c>
      <c r="F17" s="117">
        <f>SUM(F11:F16)</f>
        <v>0</v>
      </c>
      <c r="G17" s="130" t="e">
        <f t="shared" si="0"/>
        <v>#DIV/0!</v>
      </c>
      <c r="H17" s="117">
        <f>SUM(H11:H16)</f>
        <v>0</v>
      </c>
      <c r="I17" s="119" t="e">
        <f t="shared" si="1"/>
        <v>#DIV/0!</v>
      </c>
      <c r="J17" s="117">
        <f>SUM(J11:J16)</f>
        <v>0</v>
      </c>
      <c r="K17" s="118" t="e">
        <f t="shared" si="2"/>
        <v>#DIV/0!</v>
      </c>
      <c r="L17" s="117">
        <f>SUM(L11:L16)</f>
        <v>0</v>
      </c>
      <c r="M17" s="118" t="e">
        <f t="shared" si="3"/>
        <v>#DIV/0!</v>
      </c>
      <c r="N17" s="117">
        <f>SUM(N11:N16)</f>
        <v>74100</v>
      </c>
      <c r="O17" s="117">
        <f>SUM(O11:O16)</f>
        <v>-74100</v>
      </c>
      <c r="P17" s="117">
        <f>SUM(P11:P16)</f>
        <v>0</v>
      </c>
      <c r="Q17" s="740">
        <f>SUM(Q11:Q16)</f>
        <v>0</v>
      </c>
    </row>
    <row r="18" spans="2:17" ht="15.75" customHeight="1" thickBot="1">
      <c r="B18" s="98"/>
      <c r="C18" s="98"/>
      <c r="D18" s="1"/>
      <c r="E18" s="65"/>
      <c r="F18" s="56"/>
      <c r="G18" s="57"/>
      <c r="H18" s="58"/>
      <c r="I18" s="59"/>
      <c r="J18" s="58"/>
      <c r="K18" s="57"/>
      <c r="L18" s="56"/>
      <c r="M18" s="57"/>
    </row>
    <row r="19" spans="2:17" ht="15.75" customHeight="1">
      <c r="B19" s="180">
        <f>'W3 Cost &amp; Sales '!C19</f>
        <v>0</v>
      </c>
      <c r="C19" s="663">
        <f>'Entry Sheet '!H118</f>
        <v>0</v>
      </c>
      <c r="E19" s="1" t="s">
        <v>30</v>
      </c>
      <c r="F19" s="45">
        <f>'Entry Sheet '!H100</f>
        <v>0</v>
      </c>
      <c r="G19" s="47" t="e">
        <f>F19/$E$11</f>
        <v>#DIV/0!</v>
      </c>
      <c r="H19" s="45">
        <f t="shared" ref="H19:H25" si="6">+B19+F19-C19</f>
        <v>0</v>
      </c>
      <c r="I19" s="125" t="e">
        <f>H19/$E$11</f>
        <v>#DIV/0!</v>
      </c>
      <c r="J19" s="61">
        <f>'Entry Sheet '!H131</f>
        <v>0</v>
      </c>
      <c r="K19" s="47" t="e">
        <f>J19/$E$11</f>
        <v>#DIV/0!</v>
      </c>
      <c r="L19" s="45">
        <f t="shared" ref="L19:L26" si="7">H19-J19</f>
        <v>0</v>
      </c>
      <c r="M19" s="47" t="e">
        <f>L19/$E$11</f>
        <v>#DIV/0!</v>
      </c>
      <c r="O19" s="855" t="s">
        <v>300</v>
      </c>
    </row>
    <row r="20" spans="2:17" ht="15.75" customHeight="1">
      <c r="B20" s="177">
        <f>'W3 Cost &amp; Sales '!C20</f>
        <v>0</v>
      </c>
      <c r="C20" s="664">
        <f>'Entry Sheet '!H119</f>
        <v>0</v>
      </c>
      <c r="E20" s="1" t="s">
        <v>31</v>
      </c>
      <c r="F20" s="48">
        <f>'Entry Sheet '!H101</f>
        <v>0</v>
      </c>
      <c r="G20" s="50" t="e">
        <f t="shared" ref="G20:G26" si="8">F20/$E$11</f>
        <v>#DIV/0!</v>
      </c>
      <c r="H20" s="48">
        <f t="shared" si="6"/>
        <v>0</v>
      </c>
      <c r="I20" s="51" t="e">
        <f t="shared" ref="I20:I26" si="9">H20/$E$11</f>
        <v>#DIV/0!</v>
      </c>
      <c r="J20" s="52">
        <f>'Entry Sheet '!H132</f>
        <v>0</v>
      </c>
      <c r="K20" s="50" t="e">
        <f t="shared" ref="K20:K26" si="10">J20/$E$11</f>
        <v>#DIV/0!</v>
      </c>
      <c r="L20" s="48">
        <f t="shared" si="7"/>
        <v>0</v>
      </c>
      <c r="M20" s="50" t="e">
        <f t="shared" ref="M20:M26" si="11">L20/$E$11</f>
        <v>#DIV/0!</v>
      </c>
      <c r="O20" s="854">
        <f>SUM(L19:L21)</f>
        <v>0</v>
      </c>
    </row>
    <row r="21" spans="2:17" ht="15.75" customHeight="1">
      <c r="B21" s="177">
        <f>'W3 Cost &amp; Sales '!C21</f>
        <v>0</v>
      </c>
      <c r="C21" s="664">
        <f>'Entry Sheet '!H120</f>
        <v>0</v>
      </c>
      <c r="E21" s="1" t="s">
        <v>32</v>
      </c>
      <c r="F21" s="48">
        <f>'Entry Sheet '!H102</f>
        <v>0</v>
      </c>
      <c r="G21" s="50" t="e">
        <f t="shared" si="8"/>
        <v>#DIV/0!</v>
      </c>
      <c r="H21" s="48">
        <f t="shared" si="6"/>
        <v>0</v>
      </c>
      <c r="I21" s="51" t="e">
        <f t="shared" si="9"/>
        <v>#DIV/0!</v>
      </c>
      <c r="J21" s="52">
        <f>'Entry Sheet '!H133</f>
        <v>0</v>
      </c>
      <c r="K21" s="50" t="e">
        <f t="shared" si="10"/>
        <v>#DIV/0!</v>
      </c>
      <c r="L21" s="48">
        <f t="shared" si="7"/>
        <v>0</v>
      </c>
      <c r="M21" s="50" t="e">
        <f t="shared" si="11"/>
        <v>#DIV/0!</v>
      </c>
    </row>
    <row r="22" spans="2:17" ht="15.75" customHeight="1">
      <c r="B22" s="177">
        <f>'W3 Cost &amp; Sales '!C22</f>
        <v>0</v>
      </c>
      <c r="C22" s="664">
        <f>'Entry Sheet '!H121</f>
        <v>0</v>
      </c>
      <c r="E22" s="1" t="s">
        <v>33</v>
      </c>
      <c r="F22" s="48">
        <f>'Entry Sheet '!H103</f>
        <v>0</v>
      </c>
      <c r="G22" s="50" t="e">
        <f t="shared" si="8"/>
        <v>#DIV/0!</v>
      </c>
      <c r="H22" s="48">
        <f t="shared" si="6"/>
        <v>0</v>
      </c>
      <c r="I22" s="51" t="e">
        <f t="shared" si="9"/>
        <v>#DIV/0!</v>
      </c>
      <c r="J22" s="52">
        <f>$E$11*K22</f>
        <v>0</v>
      </c>
      <c r="K22" s="824">
        <v>2.1000000000000001E-2</v>
      </c>
      <c r="L22" s="48">
        <f t="shared" si="7"/>
        <v>0</v>
      </c>
      <c r="M22" s="50" t="e">
        <f t="shared" si="11"/>
        <v>#DIV/0!</v>
      </c>
    </row>
    <row r="23" spans="2:17" ht="15.75" customHeight="1">
      <c r="B23" s="177">
        <f>'W3 Cost &amp; Sales '!C23</f>
        <v>0</v>
      </c>
      <c r="C23" s="664">
        <f>'Entry Sheet '!H122</f>
        <v>0</v>
      </c>
      <c r="E23" s="1" t="s">
        <v>34</v>
      </c>
      <c r="F23" s="48">
        <f>'Entry Sheet '!H104</f>
        <v>0</v>
      </c>
      <c r="G23" s="50" t="e">
        <f t="shared" si="8"/>
        <v>#DIV/0!</v>
      </c>
      <c r="H23" s="48">
        <f t="shared" si="6"/>
        <v>0</v>
      </c>
      <c r="I23" s="51" t="e">
        <f t="shared" si="9"/>
        <v>#DIV/0!</v>
      </c>
      <c r="J23" s="52">
        <f>$E$11*K23</f>
        <v>0</v>
      </c>
      <c r="K23" s="824">
        <v>2.9000000000000001E-2</v>
      </c>
      <c r="L23" s="48">
        <f t="shared" si="7"/>
        <v>0</v>
      </c>
      <c r="M23" s="50" t="e">
        <f t="shared" si="11"/>
        <v>#DIV/0!</v>
      </c>
    </row>
    <row r="24" spans="2:17" ht="15.75" customHeight="1">
      <c r="B24" s="177">
        <f>'W3 Cost &amp; Sales '!C24</f>
        <v>0</v>
      </c>
      <c r="C24" s="664">
        <f>'Entry Sheet '!H123</f>
        <v>0</v>
      </c>
      <c r="E24" s="1" t="s">
        <v>35</v>
      </c>
      <c r="F24" s="48">
        <f>'Entry Sheet '!H105</f>
        <v>0</v>
      </c>
      <c r="G24" s="50" t="e">
        <f t="shared" si="8"/>
        <v>#DIV/0!</v>
      </c>
      <c r="H24" s="48">
        <f t="shared" si="6"/>
        <v>0</v>
      </c>
      <c r="I24" s="51" t="e">
        <f t="shared" si="9"/>
        <v>#DIV/0!</v>
      </c>
      <c r="J24" s="52">
        <f>$E$11*K24</f>
        <v>0</v>
      </c>
      <c r="K24" s="824">
        <v>0.02</v>
      </c>
      <c r="L24" s="48">
        <f t="shared" si="7"/>
        <v>0</v>
      </c>
      <c r="M24" s="50" t="e">
        <f t="shared" si="11"/>
        <v>#DIV/0!</v>
      </c>
    </row>
    <row r="25" spans="2:17" ht="15.75" customHeight="1" thickBot="1">
      <c r="B25" s="177">
        <f>'W3 Cost &amp; Sales '!C25</f>
        <v>0</v>
      </c>
      <c r="C25" s="665">
        <f>'Entry Sheet '!H124</f>
        <v>0</v>
      </c>
      <c r="E25" s="1" t="s">
        <v>52</v>
      </c>
      <c r="F25" s="656">
        <f>'Entry Sheet '!H106</f>
        <v>0</v>
      </c>
      <c r="G25" s="55" t="e">
        <f t="shared" si="8"/>
        <v>#DIV/0!</v>
      </c>
      <c r="H25" s="53">
        <f t="shared" si="6"/>
        <v>0</v>
      </c>
      <c r="I25" s="126" t="e">
        <f t="shared" si="9"/>
        <v>#DIV/0!</v>
      </c>
      <c r="J25" s="52">
        <f>$E$11*K25</f>
        <v>0</v>
      </c>
      <c r="K25" s="825">
        <v>2.1999999999999999E-2</v>
      </c>
      <c r="L25" s="53">
        <f t="shared" si="7"/>
        <v>0</v>
      </c>
      <c r="M25" s="55" t="e">
        <f t="shared" si="11"/>
        <v>#DIV/0!</v>
      </c>
      <c r="O25" s="64"/>
    </row>
    <row r="26" spans="2:17" s="37" customFormat="1" ht="15.75" customHeight="1" thickBot="1">
      <c r="B26" s="190">
        <f>SUM(B19:B25)</f>
        <v>0</v>
      </c>
      <c r="C26" s="666">
        <f>SUM(C19:C25)</f>
        <v>0</v>
      </c>
      <c r="E26" s="1" t="s">
        <v>0</v>
      </c>
      <c r="F26" s="657">
        <f>SUM(F19:F25)</f>
        <v>0</v>
      </c>
      <c r="G26" s="662" t="e">
        <f t="shared" si="8"/>
        <v>#DIV/0!</v>
      </c>
      <c r="H26" s="117">
        <f>SUM(H19:H25)</f>
        <v>0</v>
      </c>
      <c r="I26" s="119" t="e">
        <f t="shared" si="9"/>
        <v>#DIV/0!</v>
      </c>
      <c r="J26" s="120">
        <f>SUM(J19:J25)</f>
        <v>0</v>
      </c>
      <c r="K26" s="116" t="e">
        <f t="shared" si="10"/>
        <v>#DIV/0!</v>
      </c>
      <c r="L26" s="112">
        <f t="shared" si="7"/>
        <v>0</v>
      </c>
      <c r="M26" s="121" t="e">
        <f t="shared" si="11"/>
        <v>#DIV/0!</v>
      </c>
    </row>
    <row r="27" spans="2:17" ht="15.75" customHeight="1" thickBot="1">
      <c r="E27" s="1"/>
      <c r="F27" s="56"/>
      <c r="G27" s="57"/>
      <c r="H27" s="56"/>
      <c r="I27" s="59"/>
      <c r="J27" s="56"/>
      <c r="K27" s="57"/>
      <c r="L27" s="56"/>
      <c r="M27" s="57"/>
    </row>
    <row r="28" spans="2:17" ht="15.75" customHeight="1" thickBot="1">
      <c r="D28" s="1"/>
      <c r="E28" s="65"/>
      <c r="F28" s="931" t="s">
        <v>59</v>
      </c>
      <c r="G28" s="932"/>
      <c r="H28" s="932"/>
      <c r="I28" s="933" t="s">
        <v>81</v>
      </c>
      <c r="J28" s="934"/>
      <c r="K28" s="934"/>
      <c r="L28" s="934"/>
      <c r="M28" s="934"/>
      <c r="N28" s="935"/>
      <c r="O28" s="936" t="s">
        <v>51</v>
      </c>
      <c r="P28" s="937"/>
    </row>
    <row r="29" spans="2:17" ht="44.25" customHeight="1" thickBot="1">
      <c r="B29" s="913" t="s">
        <v>292</v>
      </c>
      <c r="C29" s="913"/>
      <c r="D29" s="913"/>
      <c r="E29" s="1"/>
      <c r="F29" s="241" t="s">
        <v>40</v>
      </c>
      <c r="G29" s="193" t="s">
        <v>15</v>
      </c>
      <c r="H29" s="242" t="s">
        <v>38</v>
      </c>
      <c r="I29" s="243" t="s">
        <v>56</v>
      </c>
      <c r="J29" s="191" t="s">
        <v>53</v>
      </c>
      <c r="K29" s="191" t="s">
        <v>54</v>
      </c>
      <c r="L29" s="191" t="s">
        <v>55</v>
      </c>
      <c r="M29" s="191" t="s">
        <v>57</v>
      </c>
      <c r="N29" s="192" t="s">
        <v>58</v>
      </c>
      <c r="O29" s="380" t="s">
        <v>60</v>
      </c>
      <c r="P29" s="381" t="s">
        <v>61</v>
      </c>
    </row>
    <row r="30" spans="2:17" ht="16.149999999999999" customHeight="1">
      <c r="B30" s="842" t="s">
        <v>293</v>
      </c>
      <c r="C30" s="843">
        <f>C37*0.55</f>
        <v>15666.750000000002</v>
      </c>
      <c r="D30" s="844" t="e">
        <f>+C30/$E$17</f>
        <v>#DIV/0!</v>
      </c>
      <c r="E30" s="1" t="s">
        <v>17</v>
      </c>
      <c r="F30" s="403">
        <f>H30*E17</f>
        <v>0</v>
      </c>
      <c r="G30" s="237"/>
      <c r="H30" s="404">
        <f>'W4 Forecast '!E19</f>
        <v>3.7631039136302294E-2</v>
      </c>
      <c r="I30" s="405">
        <f>'W1 Forecast'!F19</f>
        <v>2788.46</v>
      </c>
      <c r="J30" s="238"/>
      <c r="K30" s="238"/>
      <c r="L30" s="238"/>
      <c r="M30" s="406" t="e">
        <f>+I30/E17</f>
        <v>#DIV/0!</v>
      </c>
      <c r="N30" s="239"/>
      <c r="O30" s="407">
        <f t="shared" ref="O30:O48" si="12">+I30-F30</f>
        <v>2788.46</v>
      </c>
      <c r="P30" s="240"/>
    </row>
    <row r="31" spans="2:17" ht="15.6" customHeight="1">
      <c r="B31" s="845" t="s">
        <v>294</v>
      </c>
      <c r="C31" s="846"/>
      <c r="D31" s="847" t="e">
        <f t="shared" ref="D31:D37" si="13">+C31/$E$17</f>
        <v>#DIV/0!</v>
      </c>
      <c r="E31" s="1" t="s">
        <v>3</v>
      </c>
      <c r="F31" s="324">
        <f>H31*E17</f>
        <v>0</v>
      </c>
      <c r="G31" s="325" t="e">
        <f t="shared" ref="G31:G36" si="14">F31/N31</f>
        <v>#DIV/0!</v>
      </c>
      <c r="H31" s="326">
        <f>+'W1 Forecast'!E20</f>
        <v>0.04</v>
      </c>
      <c r="I31" s="219">
        <f>'Entry Sheet '!H39+'Entry Sheet '!H41</f>
        <v>0</v>
      </c>
      <c r="J31" s="218">
        <f>'Entry Sheet '!H38</f>
        <v>0</v>
      </c>
      <c r="K31" s="218">
        <f>'Entry Sheet '!H40</f>
        <v>0</v>
      </c>
      <c r="L31" s="325">
        <f>+K31+J31</f>
        <v>0</v>
      </c>
      <c r="M31" s="330" t="e">
        <f t="shared" ref="M31:M38" si="15">+I31/$E$17</f>
        <v>#DIV/0!</v>
      </c>
      <c r="N31" s="332" t="e">
        <f>+I31/L31</f>
        <v>#DIV/0!</v>
      </c>
      <c r="O31" s="334">
        <f t="shared" si="12"/>
        <v>0</v>
      </c>
      <c r="P31" s="332" t="e">
        <f>+L31-G31</f>
        <v>#DIV/0!</v>
      </c>
    </row>
    <row r="32" spans="2:17" ht="15.75" customHeight="1">
      <c r="B32" s="845" t="s">
        <v>295</v>
      </c>
      <c r="C32" s="846">
        <f>C37*0.05</f>
        <v>1424.25</v>
      </c>
      <c r="D32" s="847" t="e">
        <f t="shared" si="13"/>
        <v>#DIV/0!</v>
      </c>
      <c r="E32" s="1" t="s">
        <v>168</v>
      </c>
      <c r="F32" s="324">
        <f>H32*E17</f>
        <v>0</v>
      </c>
      <c r="G32" s="325" t="e">
        <f t="shared" si="14"/>
        <v>#DIV/0!</v>
      </c>
      <c r="H32" s="326">
        <f>+'W1 Forecast'!E21</f>
        <v>1.35E-2</v>
      </c>
      <c r="I32" s="219">
        <f>'Entry Sheet '!H59+'Entry Sheet '!H61</f>
        <v>0</v>
      </c>
      <c r="J32" s="218">
        <f>'Entry Sheet '!H58</f>
        <v>0</v>
      </c>
      <c r="K32" s="218">
        <f>'Entry Sheet '!H60</f>
        <v>0</v>
      </c>
      <c r="L32" s="325">
        <f>+K32+J32</f>
        <v>0</v>
      </c>
      <c r="M32" s="330" t="e">
        <f t="shared" si="15"/>
        <v>#DIV/0!</v>
      </c>
      <c r="N32" s="332" t="e">
        <f t="shared" ref="N32:N39" si="16">+I32/L32</f>
        <v>#DIV/0!</v>
      </c>
      <c r="O32" s="334">
        <f t="shared" si="12"/>
        <v>0</v>
      </c>
      <c r="P32" s="332" t="e">
        <f t="shared" ref="P32:P39" si="17">+L32-G32</f>
        <v>#DIV/0!</v>
      </c>
    </row>
    <row r="33" spans="2:16" ht="15.75" customHeight="1">
      <c r="B33" s="845" t="s">
        <v>296</v>
      </c>
      <c r="C33" s="846"/>
      <c r="D33" s="847" t="e">
        <f t="shared" si="13"/>
        <v>#DIV/0!</v>
      </c>
      <c r="E33" s="1" t="s">
        <v>169</v>
      </c>
      <c r="F33" s="324">
        <f>H33*E17</f>
        <v>0</v>
      </c>
      <c r="G33" s="325" t="e">
        <f t="shared" si="14"/>
        <v>#DIV/0!</v>
      </c>
      <c r="H33" s="326">
        <f>+'W1 Forecast'!E22</f>
        <v>1.03E-2</v>
      </c>
      <c r="I33" s="219">
        <f>'Entry Sheet '!H55+'Entry Sheet '!H57</f>
        <v>0</v>
      </c>
      <c r="J33" s="218">
        <f>'Entry Sheet '!H54</f>
        <v>0</v>
      </c>
      <c r="K33" s="218">
        <f>'Entry Sheet '!H56</f>
        <v>0</v>
      </c>
      <c r="L33" s="325">
        <f>+K33+J33</f>
        <v>0</v>
      </c>
      <c r="M33" s="330" t="e">
        <f t="shared" si="15"/>
        <v>#DIV/0!</v>
      </c>
      <c r="N33" s="332" t="e">
        <f t="shared" si="16"/>
        <v>#DIV/0!</v>
      </c>
      <c r="O33" s="334">
        <f t="shared" si="12"/>
        <v>0</v>
      </c>
      <c r="P33" s="332" t="e">
        <f t="shared" si="17"/>
        <v>#DIV/0!</v>
      </c>
    </row>
    <row r="34" spans="2:16" ht="15.75" customHeight="1">
      <c r="B34" s="845" t="s">
        <v>297</v>
      </c>
      <c r="C34" s="846">
        <f>C37-C30-C32</f>
        <v>11393.999999999998</v>
      </c>
      <c r="D34" s="847" t="e">
        <f t="shared" si="13"/>
        <v>#DIV/0!</v>
      </c>
      <c r="E34" s="1" t="s">
        <v>4</v>
      </c>
      <c r="F34" s="324">
        <f>H34*E17</f>
        <v>0</v>
      </c>
      <c r="G34" s="325" t="e">
        <f t="shared" si="14"/>
        <v>#DIV/0!</v>
      </c>
      <c r="H34" s="326">
        <f>+'W1 Forecast'!E23</f>
        <v>4.4999999999999997E-3</v>
      </c>
      <c r="I34" s="219">
        <f>'Entry Sheet '!H51+'Entry Sheet '!H53</f>
        <v>0</v>
      </c>
      <c r="J34" s="218">
        <f>'Entry Sheet '!H50</f>
        <v>0</v>
      </c>
      <c r="K34" s="218">
        <f>'Entry Sheet '!H52</f>
        <v>0</v>
      </c>
      <c r="L34" s="325">
        <f t="shared" ref="L34:L47" si="18">+K34+J34</f>
        <v>0</v>
      </c>
      <c r="M34" s="330" t="e">
        <f t="shared" si="15"/>
        <v>#DIV/0!</v>
      </c>
      <c r="N34" s="332" t="e">
        <f t="shared" si="16"/>
        <v>#DIV/0!</v>
      </c>
      <c r="O34" s="334">
        <f t="shared" si="12"/>
        <v>0</v>
      </c>
      <c r="P34" s="332" t="e">
        <f t="shared" si="17"/>
        <v>#DIV/0!</v>
      </c>
    </row>
    <row r="35" spans="2:16" ht="15.75" customHeight="1">
      <c r="B35" s="845" t="s">
        <v>298</v>
      </c>
      <c r="C35" s="846"/>
      <c r="D35" s="847" t="e">
        <f t="shared" si="13"/>
        <v>#DIV/0!</v>
      </c>
      <c r="E35" s="1" t="s">
        <v>170</v>
      </c>
      <c r="F35" s="324">
        <f>H35*E17</f>
        <v>0</v>
      </c>
      <c r="G35" s="325" t="e">
        <f t="shared" si="14"/>
        <v>#DIV/0!</v>
      </c>
      <c r="H35" s="326">
        <f>+'W1 Forecast'!E24</f>
        <v>5.0000000000000001E-3</v>
      </c>
      <c r="I35" s="219">
        <f>'Entry Sheet '!H47+'Entry Sheet '!H49</f>
        <v>0</v>
      </c>
      <c r="J35" s="218">
        <f>'Entry Sheet '!H46</f>
        <v>0</v>
      </c>
      <c r="K35" s="218">
        <f>'Entry Sheet '!H48</f>
        <v>0</v>
      </c>
      <c r="L35" s="325">
        <f>+K35+J35</f>
        <v>0</v>
      </c>
      <c r="M35" s="330" t="e">
        <f t="shared" si="15"/>
        <v>#DIV/0!</v>
      </c>
      <c r="N35" s="332" t="e">
        <f t="shared" si="16"/>
        <v>#DIV/0!</v>
      </c>
      <c r="O35" s="334">
        <f t="shared" si="12"/>
        <v>0</v>
      </c>
      <c r="P35" s="332" t="e">
        <f t="shared" si="17"/>
        <v>#DIV/0!</v>
      </c>
    </row>
    <row r="36" spans="2:16" ht="15.75" customHeight="1" thickBot="1">
      <c r="B36" s="848" t="s">
        <v>299</v>
      </c>
      <c r="C36" s="849"/>
      <c r="D36" s="850" t="e">
        <f t="shared" si="13"/>
        <v>#DIV/0!</v>
      </c>
      <c r="E36" s="1" t="s">
        <v>5</v>
      </c>
      <c r="F36" s="324">
        <f>H36*E17</f>
        <v>0</v>
      </c>
      <c r="G36" s="325" t="e">
        <f t="shared" si="14"/>
        <v>#DIV/0!</v>
      </c>
      <c r="H36" s="326">
        <f>+'W1 Forecast'!E25</f>
        <v>1.4999999999999999E-2</v>
      </c>
      <c r="I36" s="219">
        <f>'Entry Sheet '!H35+'Entry Sheet '!H37</f>
        <v>0</v>
      </c>
      <c r="J36" s="218">
        <f>'Entry Sheet '!H34</f>
        <v>0</v>
      </c>
      <c r="K36" s="218">
        <f>'Entry Sheet '!H36</f>
        <v>0</v>
      </c>
      <c r="L36" s="325">
        <f t="shared" si="18"/>
        <v>0</v>
      </c>
      <c r="M36" s="330" t="e">
        <f t="shared" si="15"/>
        <v>#DIV/0!</v>
      </c>
      <c r="N36" s="332" t="e">
        <f t="shared" si="16"/>
        <v>#DIV/0!</v>
      </c>
      <c r="O36" s="334">
        <f t="shared" si="12"/>
        <v>0</v>
      </c>
      <c r="P36" s="332" t="e">
        <f t="shared" si="17"/>
        <v>#DIV/0!</v>
      </c>
    </row>
    <row r="37" spans="2:16" ht="15.75" customHeight="1" thickBot="1">
      <c r="B37" s="851" t="s">
        <v>0</v>
      </c>
      <c r="C37" s="852">
        <f>16932+11553</f>
        <v>28485</v>
      </c>
      <c r="D37" s="853" t="e">
        <f t="shared" si="13"/>
        <v>#DIV/0!</v>
      </c>
      <c r="E37" s="1" t="s">
        <v>162</v>
      </c>
      <c r="F37" s="324">
        <f>H37*E17</f>
        <v>0</v>
      </c>
      <c r="G37" s="325"/>
      <c r="H37" s="326">
        <f>+'W1 Forecast'!E26</f>
        <v>0</v>
      </c>
      <c r="I37" s="219">
        <f>'Entry Sheet '!H43+'Entry Sheet '!H45</f>
        <v>0</v>
      </c>
      <c r="J37" s="218">
        <f>'Entry Sheet '!H42</f>
        <v>0</v>
      </c>
      <c r="K37" s="218">
        <f>'Entry Sheet '!H44</f>
        <v>0</v>
      </c>
      <c r="L37" s="325">
        <f>+K37+J37</f>
        <v>0</v>
      </c>
      <c r="M37" s="330" t="e">
        <f t="shared" si="15"/>
        <v>#DIV/0!</v>
      </c>
      <c r="N37" s="332" t="e">
        <f t="shared" si="16"/>
        <v>#DIV/0!</v>
      </c>
      <c r="O37" s="334">
        <f t="shared" si="12"/>
        <v>0</v>
      </c>
      <c r="P37" s="332">
        <f t="shared" si="17"/>
        <v>0</v>
      </c>
    </row>
    <row r="38" spans="2:16" ht="15.75" customHeight="1" thickBot="1">
      <c r="D38" s="1"/>
      <c r="E38" s="1"/>
      <c r="F38" s="327">
        <f>H38*E17</f>
        <v>0</v>
      </c>
      <c r="G38" s="328">
        <v>0</v>
      </c>
      <c r="H38" s="329">
        <f>+'W1 Forecast'!E27</f>
        <v>0</v>
      </c>
      <c r="I38" s="226"/>
      <c r="J38" s="220"/>
      <c r="K38" s="220"/>
      <c r="L38" s="328">
        <f>+K38+J38</f>
        <v>0</v>
      </c>
      <c r="M38" s="331" t="e">
        <f t="shared" si="15"/>
        <v>#DIV/0!</v>
      </c>
      <c r="N38" s="333" t="e">
        <f t="shared" si="16"/>
        <v>#DIV/0!</v>
      </c>
      <c r="O38" s="335">
        <f t="shared" si="12"/>
        <v>0</v>
      </c>
      <c r="P38" s="333">
        <f t="shared" si="17"/>
        <v>0</v>
      </c>
    </row>
    <row r="39" spans="2:16" s="248" customFormat="1" ht="15.75" customHeight="1" thickBot="1">
      <c r="D39" s="247"/>
      <c r="E39" s="140" t="s">
        <v>6</v>
      </c>
      <c r="F39" s="336">
        <f>SUM(F30:F38)</f>
        <v>0</v>
      </c>
      <c r="G39" s="337" t="e">
        <f>SUM(G31:G38)</f>
        <v>#DIV/0!</v>
      </c>
      <c r="H39" s="338">
        <f>SUM(H30:H38)</f>
        <v>0.1259310391363023</v>
      </c>
      <c r="I39" s="339">
        <f>SUM(I30:I38)</f>
        <v>2788.46</v>
      </c>
      <c r="J39" s="337">
        <f>SUM(J31:J38)</f>
        <v>0</v>
      </c>
      <c r="K39" s="337">
        <f>SUM(K31:K38)</f>
        <v>0</v>
      </c>
      <c r="L39" s="337">
        <f>SUM(L31:L38)</f>
        <v>0</v>
      </c>
      <c r="M39" s="340" t="e">
        <f>+I39/E17</f>
        <v>#DIV/0!</v>
      </c>
      <c r="N39" s="341" t="e">
        <f t="shared" si="16"/>
        <v>#DIV/0!</v>
      </c>
      <c r="O39" s="342">
        <f t="shared" si="12"/>
        <v>2788.46</v>
      </c>
      <c r="P39" s="392" t="e">
        <f t="shared" si="17"/>
        <v>#DIV/0!</v>
      </c>
    </row>
    <row r="40" spans="2:16" ht="15.75" customHeight="1">
      <c r="D40" s="1"/>
      <c r="E40" s="10" t="s">
        <v>16</v>
      </c>
      <c r="F40" s="403">
        <f>H40*E17</f>
        <v>0</v>
      </c>
      <c r="G40" s="245"/>
      <c r="H40" s="409">
        <f>'W4 Forecast '!E29</f>
        <v>3.1246693657219975E-2</v>
      </c>
      <c r="I40" s="410">
        <f>'W1 Forecast'!F29</f>
        <v>2315.38</v>
      </c>
      <c r="J40" s="245"/>
      <c r="K40" s="245"/>
      <c r="L40" s="245"/>
      <c r="M40" s="411" t="e">
        <f>+I40/E17</f>
        <v>#DIV/0!</v>
      </c>
      <c r="N40" s="246"/>
      <c r="O40" s="412">
        <f t="shared" si="12"/>
        <v>2315.38</v>
      </c>
      <c r="P40" s="246"/>
    </row>
    <row r="41" spans="2:16" ht="15.75" customHeight="1">
      <c r="D41" s="1"/>
      <c r="E41" s="1" t="s">
        <v>7</v>
      </c>
      <c r="F41" s="324">
        <f>H41*E17</f>
        <v>0</v>
      </c>
      <c r="G41" s="325" t="e">
        <f t="shared" ref="G41:G47" si="19">F41/N41</f>
        <v>#DIV/0!</v>
      </c>
      <c r="H41" s="326">
        <f>+'W1 Forecast'!E30</f>
        <v>3.2500000000000001E-2</v>
      </c>
      <c r="I41" s="219">
        <f>'Entry Sheet '!H83+'Entry Sheet '!H85+'Entry Sheet '!H91+'Entry Sheet '!H93</f>
        <v>0</v>
      </c>
      <c r="J41" s="218">
        <f>'Entry Sheet '!H82+'Entry Sheet '!H90</f>
        <v>0</v>
      </c>
      <c r="K41" s="218">
        <f>'Entry Sheet '!H84+'Entry Sheet '!H92</f>
        <v>0</v>
      </c>
      <c r="L41" s="325">
        <f t="shared" si="18"/>
        <v>0</v>
      </c>
      <c r="M41" s="330" t="e">
        <f t="shared" ref="M41:M48" si="20">+I41/$E$17</f>
        <v>#DIV/0!</v>
      </c>
      <c r="N41" s="332" t="e">
        <f t="shared" ref="N41:N49" si="21">+I41/L41</f>
        <v>#DIV/0!</v>
      </c>
      <c r="O41" s="334">
        <f t="shared" si="12"/>
        <v>0</v>
      </c>
      <c r="P41" s="332" t="e">
        <f>+L41-G41</f>
        <v>#DIV/0!</v>
      </c>
    </row>
    <row r="42" spans="2:16" ht="15.75" customHeight="1">
      <c r="D42" s="1"/>
      <c r="E42" s="1" t="s">
        <v>8</v>
      </c>
      <c r="F42" s="324">
        <f>H42*E17</f>
        <v>0</v>
      </c>
      <c r="G42" s="325" t="e">
        <f>F42/N42</f>
        <v>#DIV/0!</v>
      </c>
      <c r="H42" s="326">
        <f>+'W1 Forecast'!E31</f>
        <v>0.01</v>
      </c>
      <c r="I42" s="219">
        <f>'Entry Sheet '!H75+'Entry Sheet '!H77</f>
        <v>0</v>
      </c>
      <c r="J42" s="218">
        <f>'Entry Sheet '!H74</f>
        <v>0</v>
      </c>
      <c r="K42" s="218">
        <f>'Entry Sheet '!H76</f>
        <v>0</v>
      </c>
      <c r="L42" s="325">
        <f t="shared" si="18"/>
        <v>0</v>
      </c>
      <c r="M42" s="330" t="e">
        <f t="shared" si="20"/>
        <v>#DIV/0!</v>
      </c>
      <c r="N42" s="332" t="e">
        <f t="shared" si="21"/>
        <v>#DIV/0!</v>
      </c>
      <c r="O42" s="334">
        <f t="shared" si="12"/>
        <v>0</v>
      </c>
      <c r="P42" s="332" t="e">
        <f>+L42-G42</f>
        <v>#DIV/0!</v>
      </c>
    </row>
    <row r="43" spans="2:16" ht="15.75" customHeight="1">
      <c r="D43" s="1"/>
      <c r="E43" s="1" t="s">
        <v>172</v>
      </c>
      <c r="F43" s="324">
        <f>H43*E17</f>
        <v>0</v>
      </c>
      <c r="G43" s="325" t="e">
        <f>F43/N43</f>
        <v>#DIV/0!</v>
      </c>
      <c r="H43" s="326">
        <f>+'W1 Forecast'!E32</f>
        <v>1.7000000000000001E-2</v>
      </c>
      <c r="I43" s="219">
        <f>'Entry Sheet '!H87+'Entry Sheet '!H89</f>
        <v>0</v>
      </c>
      <c r="J43" s="218">
        <f>'Entry Sheet '!H86</f>
        <v>0</v>
      </c>
      <c r="K43" s="218">
        <f>'Entry Sheet '!H88</f>
        <v>0</v>
      </c>
      <c r="L43" s="325">
        <f>+K43+J43</f>
        <v>0</v>
      </c>
      <c r="M43" s="330" t="e">
        <f t="shared" si="20"/>
        <v>#DIV/0!</v>
      </c>
      <c r="N43" s="332" t="e">
        <f t="shared" si="21"/>
        <v>#DIV/0!</v>
      </c>
      <c r="O43" s="334">
        <f t="shared" si="12"/>
        <v>0</v>
      </c>
      <c r="P43" s="332" t="e">
        <f>+L43-G43</f>
        <v>#DIV/0!</v>
      </c>
    </row>
    <row r="44" spans="2:16" ht="15.75" customHeight="1">
      <c r="D44" s="1"/>
      <c r="E44" s="1" t="s">
        <v>162</v>
      </c>
      <c r="F44" s="324">
        <f>H44*E17</f>
        <v>0</v>
      </c>
      <c r="G44" s="325" t="e">
        <f>F44/N44</f>
        <v>#DIV/0!</v>
      </c>
      <c r="H44" s="326"/>
      <c r="I44" s="219">
        <f>'Entry Sheet '!H43+'Entry Sheet '!H45</f>
        <v>0</v>
      </c>
      <c r="J44" s="218">
        <f>'Entry Sheet '!H42</f>
        <v>0</v>
      </c>
      <c r="K44" s="218">
        <f>'Entry Sheet '!H44</f>
        <v>0</v>
      </c>
      <c r="L44" s="325">
        <f>+K44+J44</f>
        <v>0</v>
      </c>
      <c r="M44" s="330" t="e">
        <f t="shared" ref="M44" si="22">+I44/$E$17</f>
        <v>#DIV/0!</v>
      </c>
      <c r="N44" s="332" t="e">
        <f t="shared" ref="N44" si="23">+I44/L44</f>
        <v>#DIV/0!</v>
      </c>
      <c r="O44" s="334">
        <f t="shared" ref="O44" si="24">+I44-F44</f>
        <v>0</v>
      </c>
      <c r="P44" s="332" t="e">
        <f>+L44-G44</f>
        <v>#DIV/0!</v>
      </c>
    </row>
    <row r="45" spans="2:16" ht="15.75" customHeight="1">
      <c r="D45" s="1"/>
      <c r="E45" s="1" t="s">
        <v>9</v>
      </c>
      <c r="F45" s="324">
        <f>H45*E17</f>
        <v>0</v>
      </c>
      <c r="G45" s="325" t="e">
        <f t="shared" si="19"/>
        <v>#DIV/0!</v>
      </c>
      <c r="H45" s="326">
        <f>+'W1 Forecast'!E34</f>
        <v>1.0800000000000001E-2</v>
      </c>
      <c r="I45" s="219">
        <f>'Entry Sheet '!H63+'Entry Sheet '!H65</f>
        <v>0</v>
      </c>
      <c r="J45" s="218">
        <f>'Entry Sheet '!H62</f>
        <v>0</v>
      </c>
      <c r="K45" s="218">
        <f>'Entry Sheet '!H64</f>
        <v>0</v>
      </c>
      <c r="L45" s="325">
        <f t="shared" si="18"/>
        <v>0</v>
      </c>
      <c r="M45" s="330" t="e">
        <f t="shared" si="20"/>
        <v>#DIV/0!</v>
      </c>
      <c r="N45" s="332" t="e">
        <f t="shared" si="21"/>
        <v>#DIV/0!</v>
      </c>
      <c r="O45" s="334">
        <f t="shared" si="12"/>
        <v>0</v>
      </c>
      <c r="P45" s="332" t="e">
        <f t="shared" ref="P45:P49" si="25">+L45-G45</f>
        <v>#DIV/0!</v>
      </c>
    </row>
    <row r="46" spans="2:16" ht="15.75" customHeight="1">
      <c r="D46" s="1"/>
      <c r="E46" s="1" t="str">
        <f>'W1 Forecast'!B35</f>
        <v>Busser 2:</v>
      </c>
      <c r="F46" s="324">
        <f>H46*E17</f>
        <v>0</v>
      </c>
      <c r="G46" s="325" t="e">
        <f t="shared" si="19"/>
        <v>#DIV/0!</v>
      </c>
      <c r="H46" s="326">
        <f>+'W1 Forecast'!E35</f>
        <v>7.4999999999999997E-3</v>
      </c>
      <c r="I46" s="219">
        <f>'Entry Sheet '!H67+'Entry Sheet '!H69</f>
        <v>0</v>
      </c>
      <c r="J46" s="218">
        <f>'Entry Sheet '!H66</f>
        <v>0</v>
      </c>
      <c r="K46" s="218">
        <f>'Entry Sheet '!H68</f>
        <v>0</v>
      </c>
      <c r="L46" s="325">
        <f t="shared" si="18"/>
        <v>0</v>
      </c>
      <c r="M46" s="330" t="e">
        <f t="shared" si="20"/>
        <v>#DIV/0!</v>
      </c>
      <c r="N46" s="332" t="e">
        <f t="shared" si="21"/>
        <v>#DIV/0!</v>
      </c>
      <c r="O46" s="334">
        <f t="shared" si="12"/>
        <v>0</v>
      </c>
      <c r="P46" s="332" t="e">
        <f t="shared" si="25"/>
        <v>#DIV/0!</v>
      </c>
    </row>
    <row r="47" spans="2:16" ht="15.75" customHeight="1">
      <c r="D47" s="1"/>
      <c r="E47" s="1" t="str">
        <f>'W1 Forecast'!B36</f>
        <v>Busser 1:</v>
      </c>
      <c r="F47" s="324">
        <f>H47*E17</f>
        <v>0</v>
      </c>
      <c r="G47" s="325" t="e">
        <f t="shared" si="19"/>
        <v>#DIV/0!</v>
      </c>
      <c r="H47" s="326">
        <f>+'W1 Forecast'!E36</f>
        <v>4.0000000000000001E-3</v>
      </c>
      <c r="I47" s="219">
        <f>'Entry Sheet '!H79+'Entry Sheet '!H81</f>
        <v>0</v>
      </c>
      <c r="J47" s="218">
        <f>'Entry Sheet '!H78</f>
        <v>0</v>
      </c>
      <c r="K47" s="218">
        <f>'Entry Sheet '!H80</f>
        <v>0</v>
      </c>
      <c r="L47" s="325">
        <f t="shared" si="18"/>
        <v>0</v>
      </c>
      <c r="M47" s="330" t="e">
        <f t="shared" si="20"/>
        <v>#DIV/0!</v>
      </c>
      <c r="N47" s="332" t="e">
        <f t="shared" si="21"/>
        <v>#DIV/0!</v>
      </c>
      <c r="O47" s="334">
        <f t="shared" si="12"/>
        <v>0</v>
      </c>
      <c r="P47" s="332" t="e">
        <f t="shared" si="25"/>
        <v>#DIV/0!</v>
      </c>
    </row>
    <row r="48" spans="2:16" ht="15.75" customHeight="1" thickBot="1">
      <c r="D48" s="1"/>
      <c r="E48" s="1" t="str">
        <f>'W1 Forecast'!B37</f>
        <v>Busser 3:</v>
      </c>
      <c r="F48" s="324">
        <f>H48*E17</f>
        <v>0</v>
      </c>
      <c r="G48" s="325" t="e">
        <f t="shared" ref="G48" si="26">F48/N48</f>
        <v>#DIV/0!</v>
      </c>
      <c r="H48" s="326">
        <f>+'W1 Forecast'!E37</f>
        <v>3.0000000000000001E-3</v>
      </c>
      <c r="I48" s="219">
        <f>'Entry Sheet '!H71+'Entry Sheet '!H73</f>
        <v>0</v>
      </c>
      <c r="J48" s="218">
        <f>'Entry Sheet '!H70</f>
        <v>0</v>
      </c>
      <c r="K48" s="218">
        <f>'Entry Sheet '!H72</f>
        <v>0</v>
      </c>
      <c r="L48" s="325">
        <f t="shared" ref="L48" si="27">+K48+J48</f>
        <v>0</v>
      </c>
      <c r="M48" s="330" t="e">
        <f t="shared" si="20"/>
        <v>#DIV/0!</v>
      </c>
      <c r="N48" s="332" t="e">
        <f t="shared" si="21"/>
        <v>#DIV/0!</v>
      </c>
      <c r="O48" s="334">
        <f t="shared" si="12"/>
        <v>0</v>
      </c>
      <c r="P48" s="332" t="e">
        <f t="shared" si="25"/>
        <v>#DIV/0!</v>
      </c>
    </row>
    <row r="49" spans="4:18" ht="15.75" customHeight="1" thickBot="1">
      <c r="D49" s="1"/>
      <c r="E49" s="10" t="s">
        <v>11</v>
      </c>
      <c r="F49" s="336">
        <f>SUM(F40:F48)</f>
        <v>0</v>
      </c>
      <c r="G49" s="337" t="e">
        <f>SUM(G41:G48)</f>
        <v>#DIV/0!</v>
      </c>
      <c r="H49" s="338">
        <f>SUM(H40:H48)</f>
        <v>0.11604669365721998</v>
      </c>
      <c r="I49" s="339">
        <f>SUM(I40:I48)</f>
        <v>2315.38</v>
      </c>
      <c r="J49" s="337">
        <f>SUM(J41:J48)</f>
        <v>0</v>
      </c>
      <c r="K49" s="337">
        <f>SUM(K41:K48)</f>
        <v>0</v>
      </c>
      <c r="L49" s="337">
        <f>SUM(L41:L48)</f>
        <v>0</v>
      </c>
      <c r="M49" s="343" t="e">
        <f>+I49/E17</f>
        <v>#DIV/0!</v>
      </c>
      <c r="N49" s="341" t="e">
        <f t="shared" si="21"/>
        <v>#DIV/0!</v>
      </c>
      <c r="O49" s="344">
        <f>SUM(O40:O48)</f>
        <v>2315.38</v>
      </c>
      <c r="P49" s="392" t="e">
        <f t="shared" si="25"/>
        <v>#DIV/0!</v>
      </c>
    </row>
    <row r="50" spans="4:18" ht="15.75" customHeight="1" thickBot="1">
      <c r="D50" s="1"/>
      <c r="E50" s="10" t="s">
        <v>0</v>
      </c>
      <c r="F50" s="346">
        <f t="shared" ref="F50:M50" si="28">+F49+F39</f>
        <v>0</v>
      </c>
      <c r="G50" s="347" t="e">
        <f t="shared" si="28"/>
        <v>#DIV/0!</v>
      </c>
      <c r="H50" s="348">
        <f t="shared" si="28"/>
        <v>0.24197773279352228</v>
      </c>
      <c r="I50" s="349">
        <f t="shared" si="28"/>
        <v>5103.84</v>
      </c>
      <c r="J50" s="347">
        <f t="shared" si="28"/>
        <v>0</v>
      </c>
      <c r="K50" s="347">
        <f t="shared" si="28"/>
        <v>0</v>
      </c>
      <c r="L50" s="347">
        <f t="shared" si="28"/>
        <v>0</v>
      </c>
      <c r="M50" s="350" t="e">
        <f t="shared" si="28"/>
        <v>#DIV/0!</v>
      </c>
      <c r="N50" s="351" t="e">
        <f>+I50/L50</f>
        <v>#DIV/0!</v>
      </c>
      <c r="O50" s="352">
        <f>+O49+O39</f>
        <v>5103.84</v>
      </c>
      <c r="P50" s="351" t="e">
        <f>+P49+P39</f>
        <v>#DIV/0!</v>
      </c>
      <c r="R50" s="249"/>
    </row>
    <row r="51" spans="4:18" ht="15.75" customHeight="1">
      <c r="D51" s="1"/>
      <c r="E51" s="65"/>
      <c r="F51" s="122"/>
      <c r="G51" s="122"/>
      <c r="H51" s="122"/>
      <c r="I51" s="123"/>
      <c r="J51" s="58"/>
      <c r="K51" s="57"/>
      <c r="L51" s="56"/>
      <c r="M51" s="57"/>
    </row>
    <row r="52" spans="4:18" ht="15.75" customHeight="1">
      <c r="D52" s="1"/>
      <c r="E52" s="65"/>
      <c r="F52" s="56"/>
      <c r="G52" s="57"/>
      <c r="H52" s="58"/>
      <c r="I52" s="59"/>
      <c r="J52" s="58"/>
      <c r="K52" s="57"/>
      <c r="L52" s="56"/>
      <c r="M52" s="57"/>
    </row>
    <row r="53" spans="4:18" ht="15.75" customHeight="1">
      <c r="D53" s="1"/>
      <c r="E53" s="65"/>
      <c r="F53" s="56"/>
      <c r="G53" s="57"/>
      <c r="H53" s="58"/>
      <c r="I53" s="59"/>
      <c r="J53" s="58"/>
      <c r="K53" s="57"/>
      <c r="L53" s="56"/>
      <c r="M53" s="57"/>
    </row>
    <row r="54" spans="4:18" ht="15.75" customHeight="1">
      <c r="D54" s="1"/>
      <c r="E54" s="65"/>
      <c r="F54" s="56"/>
      <c r="G54" s="57"/>
      <c r="H54" s="58"/>
      <c r="I54" s="59"/>
      <c r="J54" s="58"/>
      <c r="K54" s="57"/>
      <c r="L54" s="56"/>
      <c r="M54" s="57"/>
    </row>
    <row r="55" spans="4:18" ht="15.75" customHeight="1">
      <c r="D55" s="1"/>
      <c r="E55" s="40"/>
      <c r="F55" s="66"/>
      <c r="G55" s="66"/>
      <c r="H55" s="67"/>
      <c r="I55" s="66"/>
      <c r="J55" s="68"/>
      <c r="K55" s="66"/>
      <c r="L55" s="56"/>
      <c r="M55" s="66"/>
    </row>
    <row r="56" spans="4:18" hidden="1">
      <c r="E56" s="926" t="s">
        <v>15</v>
      </c>
      <c r="F56" s="927"/>
      <c r="G56" s="927"/>
      <c r="H56" s="928"/>
      <c r="I56" s="929"/>
      <c r="J56" s="926" t="s">
        <v>62</v>
      </c>
      <c r="K56" s="928"/>
      <c r="L56" s="928"/>
      <c r="M56" s="928"/>
      <c r="N56" s="928"/>
      <c r="O56" s="929"/>
    </row>
    <row r="57" spans="4:18" ht="25.5" hidden="1">
      <c r="E57" s="113" t="s">
        <v>63</v>
      </c>
      <c r="F57" s="69" t="s">
        <v>64</v>
      </c>
      <c r="G57" s="69" t="s">
        <v>2</v>
      </c>
      <c r="H57" s="69" t="s">
        <v>59</v>
      </c>
      <c r="I57" s="70" t="s">
        <v>51</v>
      </c>
      <c r="J57" s="71" t="s">
        <v>65</v>
      </c>
      <c r="K57" s="71" t="s">
        <v>66</v>
      </c>
      <c r="L57" s="69" t="s">
        <v>38</v>
      </c>
      <c r="M57" s="69" t="s">
        <v>12</v>
      </c>
      <c r="N57" s="69" t="s">
        <v>13</v>
      </c>
      <c r="O57" s="72" t="s">
        <v>67</v>
      </c>
    </row>
    <row r="58" spans="4:18" hidden="1">
      <c r="D58" s="1" t="s">
        <v>68</v>
      </c>
      <c r="E58" s="114">
        <v>190</v>
      </c>
      <c r="F58" s="73">
        <v>0</v>
      </c>
      <c r="G58" s="73">
        <f>+E58+F58</f>
        <v>190</v>
      </c>
      <c r="H58" s="73">
        <f>+F58+G58</f>
        <v>190</v>
      </c>
      <c r="I58" s="74">
        <f>+E58-H58</f>
        <v>0</v>
      </c>
      <c r="J58" s="75">
        <f>K58/G58</f>
        <v>13.936842105263159</v>
      </c>
      <c r="K58" s="49">
        <v>2648</v>
      </c>
      <c r="L58" s="76" t="e">
        <f>K58/$E$17</f>
        <v>#DIV/0!</v>
      </c>
      <c r="M58" s="49">
        <f>+K58</f>
        <v>2648</v>
      </c>
      <c r="N58" s="77" t="e">
        <f>+M58/E17</f>
        <v>#DIV/0!</v>
      </c>
      <c r="O58" s="78">
        <f>+K58-M58</f>
        <v>0</v>
      </c>
    </row>
    <row r="59" spans="4:18" hidden="1">
      <c r="D59" s="1" t="s">
        <v>69</v>
      </c>
      <c r="E59" s="114">
        <v>35.01</v>
      </c>
      <c r="F59" s="73">
        <v>0</v>
      </c>
      <c r="G59" s="73">
        <v>35.01</v>
      </c>
      <c r="H59" s="79">
        <v>0</v>
      </c>
      <c r="I59" s="74">
        <v>0</v>
      </c>
      <c r="J59" s="75">
        <v>0</v>
      </c>
      <c r="K59" s="49">
        <v>630.17999999999995</v>
      </c>
      <c r="L59" s="76">
        <v>0</v>
      </c>
      <c r="M59" s="49">
        <f>+J59*H59</f>
        <v>0</v>
      </c>
      <c r="N59" s="77">
        <v>0</v>
      </c>
      <c r="O59" s="80">
        <v>0</v>
      </c>
    </row>
    <row r="60" spans="4:18" hidden="1">
      <c r="D60" s="1" t="s">
        <v>70</v>
      </c>
      <c r="E60" s="114">
        <v>110</v>
      </c>
      <c r="F60" s="73">
        <v>0</v>
      </c>
      <c r="G60" s="73">
        <f>E60+F60</f>
        <v>110</v>
      </c>
      <c r="H60" s="79">
        <f>+M60/J60</f>
        <v>110</v>
      </c>
      <c r="I60" s="74">
        <f>+E60-H60</f>
        <v>0</v>
      </c>
      <c r="J60" s="75">
        <f>K60/G60</f>
        <v>19.40909090909091</v>
      </c>
      <c r="K60" s="49">
        <v>2135</v>
      </c>
      <c r="L60" s="76" t="e">
        <f>K60/$E$17</f>
        <v>#DIV/0!</v>
      </c>
      <c r="M60" s="49">
        <f>+K60</f>
        <v>2135</v>
      </c>
      <c r="N60" s="77" t="e">
        <f>+M60/E17</f>
        <v>#DIV/0!</v>
      </c>
      <c r="O60" s="80">
        <f>+K60-M60</f>
        <v>0</v>
      </c>
    </row>
    <row r="61" spans="4:18" hidden="1">
      <c r="D61" s="1" t="s">
        <v>71</v>
      </c>
      <c r="E61" s="114"/>
      <c r="F61" s="73"/>
      <c r="G61" s="73">
        <f>+E61+F61</f>
        <v>0</v>
      </c>
      <c r="H61" s="79">
        <f>'[3]Schedule Planner - New'!R40</f>
        <v>350.69440124806869</v>
      </c>
      <c r="I61" s="74">
        <f t="shared" ref="I61:I68" si="29">+G61-H61</f>
        <v>-350.69440124806869</v>
      </c>
      <c r="J61" s="75" t="e">
        <f>+K61/G61</f>
        <v>#DIV/0!</v>
      </c>
      <c r="K61" s="49"/>
      <c r="L61" s="76" t="e">
        <f>+K61/E$17</f>
        <v>#DIV/0!</v>
      </c>
      <c r="M61" s="81" t="e">
        <f>+H61*J61</f>
        <v>#DIV/0!</v>
      </c>
      <c r="N61" s="76" t="e">
        <f>+M61/E$17</f>
        <v>#DIV/0!</v>
      </c>
      <c r="O61" s="80" t="e">
        <f>+K61-M61</f>
        <v>#DIV/0!</v>
      </c>
    </row>
    <row r="62" spans="4:18" hidden="1">
      <c r="D62" s="1" t="s">
        <v>72</v>
      </c>
      <c r="E62" s="114"/>
      <c r="F62" s="73"/>
      <c r="G62" s="73">
        <f t="shared" ref="G62:G68" si="30">+E62+F62</f>
        <v>0</v>
      </c>
      <c r="H62" s="79">
        <f>'[3]Schedule Planner - New'!R41</f>
        <v>422.85637871826748</v>
      </c>
      <c r="I62" s="74">
        <f t="shared" si="29"/>
        <v>-422.85637871826748</v>
      </c>
      <c r="J62" s="75" t="e">
        <f t="shared" ref="J62:J75" si="31">+K62/G62</f>
        <v>#DIV/0!</v>
      </c>
      <c r="K62" s="49"/>
      <c r="L62" s="76" t="e">
        <f t="shared" ref="L62:L68" si="32">+K62/E$17</f>
        <v>#DIV/0!</v>
      </c>
      <c r="M62" s="81" t="e">
        <f t="shared" ref="M62:M68" si="33">+H62*J62</f>
        <v>#DIV/0!</v>
      </c>
      <c r="N62" s="76" t="e">
        <f t="shared" ref="N62:N75" si="34">+M62/E$17</f>
        <v>#DIV/0!</v>
      </c>
      <c r="O62" s="80" t="e">
        <f t="shared" ref="O62:O68" si="35">+K62-M62</f>
        <v>#DIV/0!</v>
      </c>
    </row>
    <row r="63" spans="4:18" hidden="1">
      <c r="D63" s="1" t="s">
        <v>73</v>
      </c>
      <c r="E63" s="114"/>
      <c r="F63" s="73"/>
      <c r="G63" s="73">
        <f t="shared" si="30"/>
        <v>0</v>
      </c>
      <c r="H63" s="79">
        <f>'[3]Schedule Planner - New'!R42</f>
        <v>171.87518701457768</v>
      </c>
      <c r="I63" s="74">
        <f t="shared" si="29"/>
        <v>-171.87518701457768</v>
      </c>
      <c r="J63" s="75" t="e">
        <f t="shared" si="31"/>
        <v>#DIV/0!</v>
      </c>
      <c r="K63" s="49"/>
      <c r="L63" s="76" t="e">
        <f t="shared" si="32"/>
        <v>#DIV/0!</v>
      </c>
      <c r="M63" s="81" t="e">
        <f t="shared" si="33"/>
        <v>#DIV/0!</v>
      </c>
      <c r="N63" s="76" t="e">
        <f t="shared" si="34"/>
        <v>#DIV/0!</v>
      </c>
      <c r="O63" s="80" t="e">
        <f t="shared" si="35"/>
        <v>#DIV/0!</v>
      </c>
    </row>
    <row r="64" spans="4:18" hidden="1">
      <c r="D64" s="1" t="s">
        <v>8</v>
      </c>
      <c r="E64" s="114"/>
      <c r="F64" s="73"/>
      <c r="G64" s="73">
        <f t="shared" si="30"/>
        <v>0</v>
      </c>
      <c r="H64" s="79">
        <f>'[3]Schedule Planner - New'!R43</f>
        <v>73.917426115363867</v>
      </c>
      <c r="I64" s="74">
        <f t="shared" si="29"/>
        <v>-73.917426115363867</v>
      </c>
      <c r="J64" s="75" t="e">
        <f t="shared" si="31"/>
        <v>#DIV/0!</v>
      </c>
      <c r="K64" s="49"/>
      <c r="L64" s="76" t="e">
        <f t="shared" si="32"/>
        <v>#DIV/0!</v>
      </c>
      <c r="M64" s="81" t="e">
        <f t="shared" si="33"/>
        <v>#DIV/0!</v>
      </c>
      <c r="N64" s="76" t="e">
        <f t="shared" si="34"/>
        <v>#DIV/0!</v>
      </c>
      <c r="O64" s="80" t="e">
        <f t="shared" si="35"/>
        <v>#DIV/0!</v>
      </c>
    </row>
    <row r="65" spans="4:15" hidden="1">
      <c r="D65" s="1" t="s">
        <v>74</v>
      </c>
      <c r="E65" s="114"/>
      <c r="F65" s="73"/>
      <c r="G65" s="73">
        <f t="shared" si="30"/>
        <v>0</v>
      </c>
      <c r="H65" s="79">
        <f>'[3]Schedule Planner - New'!R44</f>
        <v>81.718958553283159</v>
      </c>
      <c r="I65" s="74">
        <f t="shared" si="29"/>
        <v>-81.718958553283159</v>
      </c>
      <c r="J65" s="75" t="e">
        <f t="shared" si="31"/>
        <v>#DIV/0!</v>
      </c>
      <c r="K65" s="49"/>
      <c r="L65" s="76" t="e">
        <f t="shared" si="32"/>
        <v>#DIV/0!</v>
      </c>
      <c r="M65" s="81" t="e">
        <f t="shared" si="33"/>
        <v>#DIV/0!</v>
      </c>
      <c r="N65" s="76" t="e">
        <f t="shared" si="34"/>
        <v>#DIV/0!</v>
      </c>
      <c r="O65" s="80" t="e">
        <f t="shared" si="35"/>
        <v>#DIV/0!</v>
      </c>
    </row>
    <row r="66" spans="4:15" hidden="1">
      <c r="D66" s="1" t="s">
        <v>9</v>
      </c>
      <c r="E66" s="114"/>
      <c r="F66" s="73"/>
      <c r="G66" s="73">
        <f t="shared" si="30"/>
        <v>0</v>
      </c>
      <c r="H66" s="79">
        <f>'[3]Schedule Planner - New'!R45</f>
        <v>88.081977362304968</v>
      </c>
      <c r="I66" s="74">
        <f t="shared" si="29"/>
        <v>-88.081977362304968</v>
      </c>
      <c r="J66" s="75" t="e">
        <f t="shared" si="31"/>
        <v>#DIV/0!</v>
      </c>
      <c r="K66" s="49"/>
      <c r="L66" s="76" t="e">
        <f t="shared" si="32"/>
        <v>#DIV/0!</v>
      </c>
      <c r="M66" s="81" t="e">
        <f t="shared" si="33"/>
        <v>#DIV/0!</v>
      </c>
      <c r="N66" s="76" t="e">
        <f t="shared" si="34"/>
        <v>#DIV/0!</v>
      </c>
      <c r="O66" s="80" t="e">
        <f t="shared" si="35"/>
        <v>#DIV/0!</v>
      </c>
    </row>
    <row r="67" spans="4:15" hidden="1">
      <c r="D67" s="1" t="s">
        <v>10</v>
      </c>
      <c r="E67" s="114"/>
      <c r="F67" s="73"/>
      <c r="G67" s="73">
        <f t="shared" si="30"/>
        <v>0</v>
      </c>
      <c r="H67" s="79">
        <f>'[3]Schedule Planner - New'!R46</f>
        <v>70.783443543790739</v>
      </c>
      <c r="I67" s="74">
        <f t="shared" si="29"/>
        <v>-70.783443543790739</v>
      </c>
      <c r="J67" s="75" t="e">
        <f t="shared" si="31"/>
        <v>#DIV/0!</v>
      </c>
      <c r="K67" s="49"/>
      <c r="L67" s="76" t="e">
        <f t="shared" si="32"/>
        <v>#DIV/0!</v>
      </c>
      <c r="M67" s="81" t="e">
        <f t="shared" si="33"/>
        <v>#DIV/0!</v>
      </c>
      <c r="N67" s="76" t="e">
        <f t="shared" si="34"/>
        <v>#DIV/0!</v>
      </c>
      <c r="O67" s="80" t="e">
        <f t="shared" si="35"/>
        <v>#DIV/0!</v>
      </c>
    </row>
    <row r="68" spans="4:15" hidden="1">
      <c r="D68" s="1" t="s">
        <v>75</v>
      </c>
      <c r="E68" s="114"/>
      <c r="F68" s="73"/>
      <c r="G68" s="73">
        <f t="shared" si="30"/>
        <v>0</v>
      </c>
      <c r="H68" s="79">
        <f>'[3]Schedule Planner - New'!R47</f>
        <v>32.085123766349717</v>
      </c>
      <c r="I68" s="74">
        <f t="shared" si="29"/>
        <v>-32.085123766349717</v>
      </c>
      <c r="J68" s="75" t="e">
        <f t="shared" si="31"/>
        <v>#DIV/0!</v>
      </c>
      <c r="K68" s="49"/>
      <c r="L68" s="76" t="e">
        <f t="shared" si="32"/>
        <v>#DIV/0!</v>
      </c>
      <c r="M68" s="81" t="e">
        <f t="shared" si="33"/>
        <v>#DIV/0!</v>
      </c>
      <c r="N68" s="76" t="e">
        <f t="shared" si="34"/>
        <v>#DIV/0!</v>
      </c>
      <c r="O68" s="80" t="e">
        <f t="shared" si="35"/>
        <v>#DIV/0!</v>
      </c>
    </row>
    <row r="69" spans="4:15" ht="16.5" hidden="1" customHeight="1">
      <c r="D69" s="1" t="s">
        <v>76</v>
      </c>
      <c r="E69" s="114"/>
      <c r="F69" s="73"/>
      <c r="G69" s="73"/>
      <c r="H69" s="79"/>
      <c r="I69" s="74"/>
      <c r="J69" s="75"/>
      <c r="K69" s="49"/>
      <c r="L69" s="76"/>
      <c r="M69" s="81"/>
      <c r="N69" s="76"/>
      <c r="O69" s="80"/>
    </row>
    <row r="70" spans="4:15" hidden="1">
      <c r="D70" s="1"/>
      <c r="E70" s="114"/>
      <c r="F70" s="73"/>
      <c r="G70" s="73"/>
      <c r="H70" s="79"/>
      <c r="I70" s="74"/>
      <c r="J70" s="75"/>
      <c r="K70" s="49"/>
      <c r="L70" s="76"/>
      <c r="M70" s="81"/>
      <c r="N70" s="76"/>
      <c r="O70" s="80"/>
    </row>
    <row r="71" spans="4:15" hidden="1">
      <c r="D71" s="1"/>
      <c r="E71" s="115"/>
      <c r="F71" s="82"/>
      <c r="G71" s="73"/>
      <c r="H71" s="79"/>
      <c r="I71" s="74"/>
      <c r="J71" s="75"/>
      <c r="K71" s="83"/>
      <c r="L71" s="76"/>
      <c r="M71" s="81"/>
      <c r="N71" s="76"/>
      <c r="O71" s="80"/>
    </row>
    <row r="72" spans="4:15" hidden="1">
      <c r="D72" s="1" t="s">
        <v>0</v>
      </c>
      <c r="E72" s="84">
        <f>SUM(E58:E71)</f>
        <v>335.01</v>
      </c>
      <c r="F72" s="85">
        <f t="shared" ref="F72:O72" si="36">SUM(F58:F71)</f>
        <v>0</v>
      </c>
      <c r="G72" s="85">
        <f t="shared" si="36"/>
        <v>335.01</v>
      </c>
      <c r="H72" s="85">
        <f t="shared" si="36"/>
        <v>1592.0128963220063</v>
      </c>
      <c r="I72" s="85">
        <f t="shared" si="36"/>
        <v>-1292.0128963220063</v>
      </c>
      <c r="J72" s="86">
        <f t="shared" si="31"/>
        <v>16.158263932419928</v>
      </c>
      <c r="K72" s="85">
        <f t="shared" si="36"/>
        <v>5413.18</v>
      </c>
      <c r="L72" s="87" t="e">
        <f>K72/$E$17</f>
        <v>#DIV/0!</v>
      </c>
      <c r="M72" s="85" t="e">
        <f t="shared" si="36"/>
        <v>#DIV/0!</v>
      </c>
      <c r="N72" s="87" t="e">
        <f t="shared" si="34"/>
        <v>#DIV/0!</v>
      </c>
      <c r="O72" s="88" t="e">
        <f t="shared" si="36"/>
        <v>#DIV/0!</v>
      </c>
    </row>
    <row r="73" spans="4:15" hidden="1">
      <c r="D73" s="1" t="s">
        <v>77</v>
      </c>
      <c r="E73" s="89">
        <f>+E58+E62+E64+E66+E67+E68+E69+E70</f>
        <v>190</v>
      </c>
      <c r="F73" s="90">
        <f>+F58+F62+F64+F66+F67+F68+F69+F70</f>
        <v>0</v>
      </c>
      <c r="G73" s="90">
        <f>+G58+G62+G64+G66+G67+G68+G69+G70</f>
        <v>190</v>
      </c>
      <c r="H73" s="90">
        <f>+H58+H62+H64+H66+H67+H68+H69+H70</f>
        <v>877.72434950607692</v>
      </c>
      <c r="I73" s="90">
        <f>+I58+I62+I64+I66+I67+I68+I69+I70</f>
        <v>-687.72434950607681</v>
      </c>
      <c r="J73" s="91">
        <f t="shared" si="31"/>
        <v>13.936842105263159</v>
      </c>
      <c r="K73" s="90">
        <f>+K58+K62+K64+K66+K67+K68+K69+K70</f>
        <v>2648</v>
      </c>
      <c r="L73" s="76" t="e">
        <f>K73/$E$17</f>
        <v>#DIV/0!</v>
      </c>
      <c r="M73" s="90" t="e">
        <f>+M58+M62+M64+M66+M67+M68+M69+M70</f>
        <v>#DIV/0!</v>
      </c>
      <c r="N73" s="76" t="e">
        <f t="shared" si="34"/>
        <v>#DIV/0!</v>
      </c>
      <c r="O73" s="92" t="e">
        <f>+O58+O62+O64+O66+O67+O68+O69+O70</f>
        <v>#DIV/0!</v>
      </c>
    </row>
    <row r="74" spans="4:15" hidden="1">
      <c r="D74" s="1" t="s">
        <v>78</v>
      </c>
      <c r="E74" s="89">
        <f>+E60+E61+E63+E65</f>
        <v>110</v>
      </c>
      <c r="F74" s="90">
        <f>+F60+F61+F63+F65</f>
        <v>0</v>
      </c>
      <c r="G74" s="90">
        <f>+G60+G61+G63+G65</f>
        <v>110</v>
      </c>
      <c r="H74" s="90">
        <f>+H60+H61+H63+H65</f>
        <v>714.28854681592952</v>
      </c>
      <c r="I74" s="90">
        <f>+I60+I61+I63+I65</f>
        <v>-604.28854681592952</v>
      </c>
      <c r="J74" s="91">
        <f t="shared" si="31"/>
        <v>19.40909090909091</v>
      </c>
      <c r="K74" s="90">
        <f>+K60+K61+K63+K65</f>
        <v>2135</v>
      </c>
      <c r="L74" s="76" t="e">
        <f>K74/$E$17</f>
        <v>#DIV/0!</v>
      </c>
      <c r="M74" s="90" t="e">
        <f>+M60+M61+M63+M65</f>
        <v>#DIV/0!</v>
      </c>
      <c r="N74" s="76" t="e">
        <f t="shared" si="34"/>
        <v>#DIV/0!</v>
      </c>
      <c r="O74" s="92" t="e">
        <f>+O60+O61+O63+O65</f>
        <v>#DIV/0!</v>
      </c>
    </row>
    <row r="75" spans="4:15" ht="13.5" hidden="1" thickBot="1">
      <c r="D75" s="1" t="s">
        <v>79</v>
      </c>
      <c r="E75" s="93">
        <f>+E65+E63</f>
        <v>0</v>
      </c>
      <c r="F75" s="94">
        <f>+F65+F63</f>
        <v>0</v>
      </c>
      <c r="G75" s="94">
        <f>+G65+G63</f>
        <v>0</v>
      </c>
      <c r="H75" s="94">
        <f>+H65+H63</f>
        <v>253.59414556786083</v>
      </c>
      <c r="I75" s="94">
        <f>+I65+I63</f>
        <v>-253.59414556786083</v>
      </c>
      <c r="J75" s="95" t="e">
        <f t="shared" si="31"/>
        <v>#DIV/0!</v>
      </c>
      <c r="K75" s="94">
        <f>+K65+K63</f>
        <v>0</v>
      </c>
      <c r="L75" s="96" t="e">
        <f>K75/$E$17</f>
        <v>#DIV/0!</v>
      </c>
      <c r="M75" s="94" t="e">
        <f>+M65+M63</f>
        <v>#DIV/0!</v>
      </c>
      <c r="N75" s="96" t="e">
        <f t="shared" si="34"/>
        <v>#DIV/0!</v>
      </c>
      <c r="O75" s="97" t="e">
        <f>+O65+O63</f>
        <v>#DIV/0!</v>
      </c>
    </row>
    <row r="77" spans="4:15">
      <c r="L77" s="38" t="s">
        <v>19</v>
      </c>
    </row>
    <row r="126" ht="3.75" customHeight="1"/>
    <row r="134" ht="5.25" customHeight="1"/>
    <row r="142" ht="3.75" customHeight="1"/>
    <row r="143" ht="15" customHeight="1"/>
    <row r="150" ht="3.75" customHeight="1"/>
  </sheetData>
  <mergeCells count="14">
    <mergeCell ref="G1:H1"/>
    <mergeCell ref="E4:F4"/>
    <mergeCell ref="E5:F5"/>
    <mergeCell ref="E2:J2"/>
    <mergeCell ref="E56:I56"/>
    <mergeCell ref="J56:O56"/>
    <mergeCell ref="B29:D29"/>
    <mergeCell ref="B9:C9"/>
    <mergeCell ref="E9:G9"/>
    <mergeCell ref="H9:M9"/>
    <mergeCell ref="N9:Q9"/>
    <mergeCell ref="F28:H28"/>
    <mergeCell ref="I28:N28"/>
    <mergeCell ref="O28:P28"/>
  </mergeCells>
  <phoneticPr fontId="0" type="noConversion"/>
  <pageMargins left="0.14000000000000001" right="0.14000000000000001" top="0.15" bottom="0.18" header="0.15" footer="0.15"/>
  <pageSetup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62"/>
  <sheetViews>
    <sheetView topLeftCell="A13" workbookViewId="0">
      <selection activeCell="C2" sqref="C2:D2"/>
    </sheetView>
  </sheetViews>
  <sheetFormatPr defaultColWidth="9.140625" defaultRowHeight="15"/>
  <sheetData>
    <row r="1" spans="2:12" ht="15.75" thickBot="1"/>
    <row r="2" spans="2:12" ht="15.75" thickBot="1">
      <c r="B2" s="1" t="s">
        <v>20</v>
      </c>
      <c r="C2" s="901" t="s">
        <v>226</v>
      </c>
      <c r="D2" s="902"/>
    </row>
    <row r="3" spans="2:12" ht="15.75" thickBot="1">
      <c r="B3" s="1" t="s">
        <v>44</v>
      </c>
      <c r="C3" s="903">
        <f>'W4 Forecast '!J14</f>
        <v>44248</v>
      </c>
      <c r="D3" s="904"/>
    </row>
    <row r="4" spans="2:12" ht="15.75" thickBot="1">
      <c r="B4" s="430" t="s">
        <v>21</v>
      </c>
      <c r="C4" s="476">
        <f>'W4 Cost &amp; Sales'!D6</f>
        <v>2</v>
      </c>
      <c r="D4" s="475" t="s">
        <v>87</v>
      </c>
      <c r="E4" s="477">
        <f>'W4 Cost &amp; Sales'!F6</f>
        <v>4</v>
      </c>
    </row>
    <row r="5" spans="2:12" ht="15.75" thickBot="1"/>
    <row r="6" spans="2:12" ht="15.75">
      <c r="B6" s="431" t="s">
        <v>227</v>
      </c>
      <c r="C6" s="480"/>
      <c r="D6" s="429" t="s">
        <v>1</v>
      </c>
      <c r="E6" s="481"/>
      <c r="F6" s="479" t="s">
        <v>49</v>
      </c>
      <c r="G6" s="429" t="s">
        <v>51</v>
      </c>
      <c r="H6" s="428"/>
      <c r="I6" s="428"/>
      <c r="J6" s="428"/>
      <c r="K6" s="428"/>
      <c r="L6" s="428"/>
    </row>
    <row r="7" spans="2:12">
      <c r="B7" s="19" t="s">
        <v>29</v>
      </c>
      <c r="C7" s="482"/>
      <c r="D7" s="432">
        <f>'W4 Forecast '!I20</f>
        <v>48268.74</v>
      </c>
      <c r="E7" s="7"/>
      <c r="F7" s="483">
        <f>'W4 Cost &amp; Sales'!E11</f>
        <v>0</v>
      </c>
      <c r="G7" s="484">
        <f>F7-D7</f>
        <v>-48268.74</v>
      </c>
    </row>
    <row r="8" spans="2:12">
      <c r="B8" s="19" t="s">
        <v>24</v>
      </c>
      <c r="C8" s="482"/>
      <c r="D8" s="432">
        <f>'W4 Forecast '!I21</f>
        <v>7654.5300000000007</v>
      </c>
      <c r="E8" s="7"/>
      <c r="F8" s="483">
        <f>'W4 Cost &amp; Sales'!E12</f>
        <v>0</v>
      </c>
      <c r="G8" s="484">
        <f t="shared" ref="G8:G11" si="0">F8-D8</f>
        <v>-7654.5300000000007</v>
      </c>
    </row>
    <row r="9" spans="2:12">
      <c r="B9" s="19" t="s">
        <v>25</v>
      </c>
      <c r="C9" s="482"/>
      <c r="D9" s="432">
        <f>'W4 Forecast '!I22</f>
        <v>3593.85</v>
      </c>
      <c r="E9" s="7"/>
      <c r="F9" s="483">
        <f>'W4 Cost &amp; Sales'!E13</f>
        <v>0</v>
      </c>
      <c r="G9" s="484">
        <f t="shared" si="0"/>
        <v>-3593.85</v>
      </c>
    </row>
    <row r="10" spans="2:12">
      <c r="B10" s="19" t="s">
        <v>26</v>
      </c>
      <c r="C10" s="482"/>
      <c r="D10" s="432">
        <f>'W4 Forecast '!I23</f>
        <v>12478.439999999999</v>
      </c>
      <c r="E10" s="7"/>
      <c r="F10" s="483">
        <f>'W4 Cost &amp; Sales'!E14</f>
        <v>0</v>
      </c>
      <c r="G10" s="484">
        <f t="shared" si="0"/>
        <v>-12478.439999999999</v>
      </c>
    </row>
    <row r="11" spans="2:12" ht="15.75" thickBot="1">
      <c r="B11" s="19" t="s">
        <v>85</v>
      </c>
      <c r="C11" s="482"/>
      <c r="D11" s="518">
        <f>'W4 Forecast '!I24</f>
        <v>2104.44</v>
      </c>
      <c r="E11" s="7"/>
      <c r="F11" s="534">
        <f>'W4 Cost &amp; Sales'!E15</f>
        <v>0</v>
      </c>
      <c r="G11" s="461">
        <f t="shared" si="0"/>
        <v>-2104.44</v>
      </c>
    </row>
    <row r="12" spans="2:12">
      <c r="B12" s="430" t="s">
        <v>0</v>
      </c>
      <c r="C12" s="485"/>
      <c r="D12" s="531">
        <f>SUM(D7:D11)</f>
        <v>74100</v>
      </c>
      <c r="E12" s="486"/>
      <c r="F12" s="532">
        <f>SUM(F7:F11)</f>
        <v>0</v>
      </c>
      <c r="G12" s="533">
        <f>SUM(G7:G11)</f>
        <v>-74100</v>
      </c>
      <c r="H12" s="428"/>
      <c r="I12" s="428"/>
      <c r="J12" s="428"/>
      <c r="K12" s="428"/>
      <c r="L12" s="428"/>
    </row>
    <row r="13" spans="2:12" ht="15.75" thickBot="1">
      <c r="C13" s="433"/>
      <c r="D13" s="8"/>
      <c r="E13" s="7"/>
      <c r="G13" s="8"/>
    </row>
    <row r="14" spans="2:12" ht="15.75">
      <c r="B14" s="431" t="s">
        <v>228</v>
      </c>
      <c r="C14" s="434" t="s">
        <v>13</v>
      </c>
      <c r="D14" s="429" t="s">
        <v>12</v>
      </c>
      <c r="E14" s="478" t="s">
        <v>229</v>
      </c>
      <c r="F14" s="487" t="s">
        <v>230</v>
      </c>
      <c r="G14" s="429" t="s">
        <v>51</v>
      </c>
      <c r="H14" s="428"/>
      <c r="I14" s="428"/>
      <c r="J14" s="428"/>
      <c r="K14" s="428"/>
      <c r="L14" s="428"/>
    </row>
    <row r="15" spans="2:12">
      <c r="B15" s="19" t="s">
        <v>29</v>
      </c>
      <c r="C15" s="488">
        <f>'W1 Forecast'!L20</f>
        <v>0.32</v>
      </c>
      <c r="D15" s="432">
        <f>F7*C15</f>
        <v>0</v>
      </c>
      <c r="E15" s="489">
        <f>'W4 Cost &amp; Sales'!H11</f>
        <v>0</v>
      </c>
      <c r="F15" s="490" t="e">
        <f>E15/F7</f>
        <v>#DIV/0!</v>
      </c>
      <c r="G15" s="484">
        <f>E15-D15</f>
        <v>0</v>
      </c>
      <c r="J15" s="36"/>
      <c r="K15" s="36"/>
      <c r="L15" s="36"/>
    </row>
    <row r="16" spans="2:12">
      <c r="B16" s="19" t="s">
        <v>24</v>
      </c>
      <c r="C16" s="488">
        <f>'W1 Forecast'!L21</f>
        <v>0.17</v>
      </c>
      <c r="D16" s="432">
        <f t="shared" ref="D16:D19" si="1">F8*C16</f>
        <v>0</v>
      </c>
      <c r="E16" s="489">
        <f>'W4 Cost &amp; Sales'!H12</f>
        <v>0</v>
      </c>
      <c r="F16" s="490" t="e">
        <f t="shared" ref="F16:F19" si="2">E16/F8</f>
        <v>#DIV/0!</v>
      </c>
      <c r="G16" s="484">
        <f t="shared" ref="G16:G19" si="3">E16-D16</f>
        <v>0</v>
      </c>
      <c r="J16" s="36"/>
      <c r="K16" s="36"/>
    </row>
    <row r="17" spans="2:11">
      <c r="B17" s="19" t="s">
        <v>25</v>
      </c>
      <c r="C17" s="488">
        <f>'W1 Forecast'!L22</f>
        <v>0.19</v>
      </c>
      <c r="D17" s="432">
        <f t="shared" si="1"/>
        <v>0</v>
      </c>
      <c r="E17" s="489">
        <f>'W4 Cost &amp; Sales'!H13</f>
        <v>0</v>
      </c>
      <c r="F17" s="490" t="e">
        <f t="shared" si="2"/>
        <v>#DIV/0!</v>
      </c>
      <c r="G17" s="484">
        <f t="shared" si="3"/>
        <v>0</v>
      </c>
      <c r="J17" s="36"/>
      <c r="K17" s="36"/>
    </row>
    <row r="18" spans="2:11">
      <c r="B18" s="19" t="s">
        <v>26</v>
      </c>
      <c r="C18" s="488">
        <f>'W1 Forecast'!L23</f>
        <v>0.23</v>
      </c>
      <c r="D18" s="432">
        <f t="shared" si="1"/>
        <v>0</v>
      </c>
      <c r="E18" s="489">
        <f>'W4 Cost &amp; Sales'!H14</f>
        <v>0</v>
      </c>
      <c r="F18" s="490" t="e">
        <f t="shared" si="2"/>
        <v>#DIV/0!</v>
      </c>
      <c r="G18" s="484">
        <f t="shared" si="3"/>
        <v>0</v>
      </c>
      <c r="J18" s="36"/>
      <c r="K18" s="36"/>
    </row>
    <row r="19" spans="2:11" ht="15.75" thickBot="1">
      <c r="B19" s="19" t="s">
        <v>85</v>
      </c>
      <c r="C19" s="504">
        <f>'W1 Forecast'!L24</f>
        <v>0.12</v>
      </c>
      <c r="D19" s="518">
        <f t="shared" si="1"/>
        <v>0</v>
      </c>
      <c r="E19" s="523">
        <f>'W4 Cost &amp; Sales'!H15</f>
        <v>0</v>
      </c>
      <c r="F19" s="524" t="e">
        <f t="shared" si="2"/>
        <v>#DIV/0!</v>
      </c>
      <c r="G19" s="461">
        <f t="shared" si="3"/>
        <v>0</v>
      </c>
      <c r="J19" s="36"/>
      <c r="K19" s="36"/>
    </row>
    <row r="20" spans="2:11" ht="15.75" thickBot="1">
      <c r="B20" s="430" t="s">
        <v>0</v>
      </c>
      <c r="C20" s="462" t="e">
        <f>D20/F12</f>
        <v>#DIV/0!</v>
      </c>
      <c r="D20" s="502">
        <f>SUM(D15:D19)</f>
        <v>0</v>
      </c>
      <c r="E20" s="521">
        <f>SUM(E15:E19)</f>
        <v>0</v>
      </c>
      <c r="F20" s="522" t="e">
        <f>E20/F12</f>
        <v>#DIV/0!</v>
      </c>
      <c r="G20" s="441">
        <f>SUM(G15:G19)</f>
        <v>0</v>
      </c>
      <c r="H20" s="428"/>
      <c r="I20" s="428"/>
      <c r="J20" s="428"/>
      <c r="K20" s="493"/>
    </row>
    <row r="21" spans="2:11" ht="15.75" thickBot="1">
      <c r="C21" s="433"/>
      <c r="D21" s="8"/>
      <c r="E21" s="7"/>
      <c r="F21" s="449"/>
      <c r="G21" s="8"/>
    </row>
    <row r="22" spans="2:11" ht="15.75">
      <c r="B22" s="431" t="s">
        <v>201</v>
      </c>
      <c r="C22" s="434" t="s">
        <v>13</v>
      </c>
      <c r="D22" s="429" t="s">
        <v>12</v>
      </c>
      <c r="E22" s="478" t="s">
        <v>229</v>
      </c>
      <c r="F22" s="487" t="s">
        <v>230</v>
      </c>
      <c r="G22" s="429" t="s">
        <v>51</v>
      </c>
      <c r="H22" s="428"/>
      <c r="I22" s="428"/>
      <c r="J22" s="428"/>
      <c r="K22" s="428"/>
    </row>
    <row r="23" spans="2:11">
      <c r="B23" s="19" t="s">
        <v>202</v>
      </c>
      <c r="C23" s="488">
        <f>'W1 Forecast'!C47</f>
        <v>5.0000000000000001E-4</v>
      </c>
      <c r="D23" s="432">
        <f>$F$12*C23</f>
        <v>0</v>
      </c>
      <c r="E23" s="505"/>
      <c r="F23" s="490" t="e">
        <f>E23/$F$12</f>
        <v>#DIV/0!</v>
      </c>
      <c r="G23" s="484">
        <f>E23-D23</f>
        <v>0</v>
      </c>
      <c r="H23" s="428"/>
      <c r="I23" s="428"/>
      <c r="J23" s="452"/>
      <c r="K23" s="428"/>
    </row>
    <row r="24" spans="2:11">
      <c r="B24" s="19" t="s">
        <v>203</v>
      </c>
      <c r="C24" s="488">
        <f>'W1 Forecast'!C48</f>
        <v>0</v>
      </c>
      <c r="D24" s="432">
        <f t="shared" ref="D24:D30" si="4">$F$12*C24</f>
        <v>0</v>
      </c>
      <c r="E24" s="505"/>
      <c r="F24" s="490" t="e">
        <f t="shared" ref="F24:F31" si="5">E24/$F$12</f>
        <v>#DIV/0!</v>
      </c>
      <c r="G24" s="484">
        <f t="shared" ref="G24:G30" si="6">E24-D24</f>
        <v>0</v>
      </c>
      <c r="H24" s="428"/>
      <c r="I24" s="428"/>
      <c r="J24" s="428"/>
      <c r="K24" s="428"/>
    </row>
    <row r="25" spans="2:11">
      <c r="B25" s="19" t="s">
        <v>204</v>
      </c>
      <c r="C25" s="488">
        <f>'W1 Forecast'!C49</f>
        <v>3.7000000000000002E-3</v>
      </c>
      <c r="D25" s="432">
        <f t="shared" si="4"/>
        <v>0</v>
      </c>
      <c r="E25" s="505"/>
      <c r="F25" s="490" t="e">
        <f t="shared" si="5"/>
        <v>#DIV/0!</v>
      </c>
      <c r="G25" s="484">
        <f t="shared" si="6"/>
        <v>0</v>
      </c>
      <c r="H25" s="428"/>
      <c r="I25" s="428"/>
      <c r="J25" s="428"/>
      <c r="K25" s="428"/>
    </row>
    <row r="26" spans="2:11">
      <c r="B26" s="19" t="s">
        <v>231</v>
      </c>
      <c r="C26" s="488">
        <f>'W1 Forecast'!C50</f>
        <v>3.5999999999999999E-3</v>
      </c>
      <c r="D26" s="432">
        <f t="shared" si="4"/>
        <v>0</v>
      </c>
      <c r="E26" s="505"/>
      <c r="F26" s="490" t="e">
        <f t="shared" si="5"/>
        <v>#DIV/0!</v>
      </c>
      <c r="G26" s="484">
        <f t="shared" si="6"/>
        <v>0</v>
      </c>
      <c r="H26" s="428"/>
      <c r="I26" s="428"/>
      <c r="J26" s="428"/>
      <c r="K26" s="428"/>
    </row>
    <row r="27" spans="2:11">
      <c r="B27" s="19" t="s">
        <v>206</v>
      </c>
      <c r="C27" s="488">
        <f>'W1 Forecast'!C51</f>
        <v>4.4000000000000003E-3</v>
      </c>
      <c r="D27" s="432">
        <f t="shared" si="4"/>
        <v>0</v>
      </c>
      <c r="E27" s="505"/>
      <c r="F27" s="490" t="e">
        <f t="shared" si="5"/>
        <v>#DIV/0!</v>
      </c>
      <c r="G27" s="484">
        <f t="shared" si="6"/>
        <v>0</v>
      </c>
      <c r="H27" s="428"/>
      <c r="I27" s="428"/>
      <c r="J27" s="428"/>
      <c r="K27" s="428"/>
    </row>
    <row r="28" spans="2:11">
      <c r="B28" s="19" t="s">
        <v>207</v>
      </c>
      <c r="C28" s="488">
        <f>'W1 Forecast'!C52</f>
        <v>3.5000000000000001E-3</v>
      </c>
      <c r="D28" s="432">
        <f t="shared" si="4"/>
        <v>0</v>
      </c>
      <c r="E28" s="505"/>
      <c r="F28" s="490" t="e">
        <f t="shared" si="5"/>
        <v>#DIV/0!</v>
      </c>
      <c r="G28" s="484">
        <f t="shared" si="6"/>
        <v>0</v>
      </c>
    </row>
    <row r="29" spans="2:11">
      <c r="B29" s="19" t="s">
        <v>208</v>
      </c>
      <c r="C29" s="488">
        <f>'W1 Forecast'!C62</f>
        <v>3.0000000000000001E-3</v>
      </c>
      <c r="D29" s="432">
        <f t="shared" si="4"/>
        <v>0</v>
      </c>
      <c r="E29" s="505"/>
      <c r="F29" s="490" t="e">
        <f t="shared" si="5"/>
        <v>#DIV/0!</v>
      </c>
      <c r="G29" s="484">
        <f t="shared" si="6"/>
        <v>0</v>
      </c>
    </row>
    <row r="30" spans="2:11" ht="15.75" thickBot="1">
      <c r="B30" s="19" t="s">
        <v>209</v>
      </c>
      <c r="C30" s="504">
        <f>'W1 Forecast'!C63</f>
        <v>5.0000000000000001E-4</v>
      </c>
      <c r="D30" s="518">
        <f t="shared" si="4"/>
        <v>0</v>
      </c>
      <c r="E30" s="525"/>
      <c r="F30" s="524" t="e">
        <f t="shared" si="5"/>
        <v>#DIV/0!</v>
      </c>
      <c r="G30" s="461">
        <f t="shared" si="6"/>
        <v>0</v>
      </c>
    </row>
    <row r="31" spans="2:11" ht="15.75" thickBot="1">
      <c r="B31" s="430" t="s">
        <v>0</v>
      </c>
      <c r="C31" s="462" t="e">
        <f>D31/F12</f>
        <v>#DIV/0!</v>
      </c>
      <c r="D31" s="441">
        <f>SUM(D23:D30)</f>
        <v>0</v>
      </c>
      <c r="E31" s="521">
        <f>SUM(E23:E30)</f>
        <v>0</v>
      </c>
      <c r="F31" s="474" t="e">
        <f t="shared" si="5"/>
        <v>#DIV/0!</v>
      </c>
      <c r="G31" s="441">
        <f>SUM(G23:G30)</f>
        <v>0</v>
      </c>
      <c r="H31" s="428"/>
      <c r="I31" s="428"/>
      <c r="J31" s="428"/>
      <c r="K31" s="428"/>
    </row>
    <row r="32" spans="2:11" ht="15.75" thickBot="1">
      <c r="C32" s="433"/>
      <c r="D32" s="8"/>
      <c r="E32" s="494"/>
      <c r="F32" s="449"/>
      <c r="G32" s="8"/>
    </row>
    <row r="33" spans="1:13">
      <c r="B33" s="19" t="s">
        <v>210</v>
      </c>
      <c r="C33" s="473">
        <f>'W1 Forecast'!C66</f>
        <v>1.04E-2</v>
      </c>
      <c r="D33" s="535">
        <f>$F$12*C33</f>
        <v>0</v>
      </c>
      <c r="E33" s="536"/>
      <c r="F33" s="539" t="e">
        <f>E33/$F$12</f>
        <v>#DIV/0!</v>
      </c>
      <c r="G33" s="540">
        <f>E33-D33</f>
        <v>0</v>
      </c>
    </row>
    <row r="34" spans="1:13">
      <c r="B34" s="19" t="s">
        <v>211</v>
      </c>
      <c r="C34" s="436">
        <f>'W1 Forecast'!C67</f>
        <v>7.4999999999999997E-3</v>
      </c>
      <c r="D34" s="432">
        <f t="shared" ref="D34:D36" si="7">$F$12*C34</f>
        <v>0</v>
      </c>
      <c r="E34" s="471"/>
      <c r="F34" s="490" t="e">
        <f t="shared" ref="F34:F36" si="8">E34/$F$12</f>
        <v>#DIV/0!</v>
      </c>
      <c r="G34" s="484">
        <f t="shared" ref="G34:G36" si="9">E34-D34</f>
        <v>0</v>
      </c>
    </row>
    <row r="35" spans="1:13">
      <c r="B35" s="19" t="s">
        <v>212</v>
      </c>
      <c r="C35" s="436">
        <f>'W1 Forecast'!C68</f>
        <v>1.3899999999999999E-2</v>
      </c>
      <c r="D35" s="432">
        <f t="shared" si="7"/>
        <v>0</v>
      </c>
      <c r="E35" s="471"/>
      <c r="F35" s="490" t="e">
        <f t="shared" si="8"/>
        <v>#DIV/0!</v>
      </c>
      <c r="G35" s="484">
        <f t="shared" si="9"/>
        <v>0</v>
      </c>
    </row>
    <row r="36" spans="1:13" ht="15.75" thickBot="1">
      <c r="B36" s="19" t="s">
        <v>213</v>
      </c>
      <c r="C36" s="503">
        <f>'W1 Forecast'!C69</f>
        <v>0.04</v>
      </c>
      <c r="D36" s="518">
        <f t="shared" si="7"/>
        <v>0</v>
      </c>
      <c r="E36" s="537">
        <f>D36</f>
        <v>0</v>
      </c>
      <c r="F36" s="524" t="e">
        <f t="shared" si="8"/>
        <v>#DIV/0!</v>
      </c>
      <c r="G36" s="461">
        <f t="shared" si="9"/>
        <v>0</v>
      </c>
    </row>
    <row r="37" spans="1:13" ht="15.75" thickBot="1">
      <c r="A37" s="428"/>
      <c r="B37" s="430" t="s">
        <v>214</v>
      </c>
      <c r="C37" s="462" t="e">
        <f>D37/F12</f>
        <v>#DIV/0!</v>
      </c>
      <c r="D37" s="502">
        <f>SUM(D33:D36)</f>
        <v>0</v>
      </c>
      <c r="E37" s="538">
        <f>SUM(E33:E36)</f>
        <v>0</v>
      </c>
      <c r="F37" s="522" t="e">
        <f>E37/F12</f>
        <v>#DIV/0!</v>
      </c>
      <c r="G37" s="441">
        <f>SUM(G33:G36)</f>
        <v>0</v>
      </c>
      <c r="H37" s="428"/>
      <c r="I37" s="428"/>
      <c r="J37" s="428"/>
      <c r="K37" s="428"/>
      <c r="L37" s="428"/>
      <c r="M37" s="428"/>
    </row>
    <row r="38" spans="1:13" ht="15.75" thickBot="1">
      <c r="C38" s="433"/>
      <c r="D38" s="8"/>
      <c r="E38" s="7"/>
      <c r="F38" s="449"/>
      <c r="G38" s="8"/>
      <c r="M38" s="449"/>
    </row>
    <row r="39" spans="1:13" ht="15.75">
      <c r="A39" s="428"/>
      <c r="B39" s="431" t="s">
        <v>215</v>
      </c>
      <c r="C39" s="434" t="s">
        <v>13</v>
      </c>
      <c r="D39" s="429" t="s">
        <v>12</v>
      </c>
      <c r="E39" s="478" t="s">
        <v>229</v>
      </c>
      <c r="F39" s="487" t="s">
        <v>230</v>
      </c>
      <c r="G39" s="429" t="s">
        <v>51</v>
      </c>
      <c r="H39" s="428"/>
      <c r="I39" s="428"/>
      <c r="J39" s="428"/>
      <c r="K39" s="428"/>
      <c r="L39" s="428"/>
      <c r="M39" s="428"/>
    </row>
    <row r="40" spans="1:13">
      <c r="B40" s="19" t="s">
        <v>216</v>
      </c>
      <c r="C40" s="436" t="e">
        <f>D40/F12</f>
        <v>#DIV/0!</v>
      </c>
      <c r="D40" s="506">
        <f>'W1 Forecast'!D73</f>
        <v>1947.2225000000001</v>
      </c>
      <c r="E40" s="507">
        <f>D40</f>
        <v>1947.2225000000001</v>
      </c>
      <c r="F40" s="490" t="e">
        <f>E40/$F$12</f>
        <v>#DIV/0!</v>
      </c>
      <c r="G40" s="484">
        <f>E40-D40</f>
        <v>0</v>
      </c>
      <c r="J40" s="450"/>
      <c r="K40" s="496"/>
      <c r="L40" s="496"/>
      <c r="M40" s="449"/>
    </row>
    <row r="41" spans="1:13">
      <c r="B41" s="19" t="s">
        <v>17</v>
      </c>
      <c r="C41" s="436" t="e">
        <f>D41/F12</f>
        <v>#DIV/0!</v>
      </c>
      <c r="D41" s="506">
        <f>'W4 Cost &amp; Sales'!I30</f>
        <v>2788.46</v>
      </c>
      <c r="E41" s="507">
        <f>D41</f>
        <v>2788.46</v>
      </c>
      <c r="F41" s="490" t="e">
        <f t="shared" ref="F41:F46" si="10">E41/$F$12</f>
        <v>#DIV/0!</v>
      </c>
      <c r="G41" s="484">
        <f t="shared" ref="G41:G46" si="11">E41-D41</f>
        <v>0</v>
      </c>
      <c r="J41" s="450"/>
    </row>
    <row r="42" spans="1:13">
      <c r="B42" s="19" t="s">
        <v>217</v>
      </c>
      <c r="C42" s="436">
        <f>'W1 Forecast'!C75</f>
        <v>8.8300000000000003E-2</v>
      </c>
      <c r="D42" s="432">
        <f>F12*C42</f>
        <v>0</v>
      </c>
      <c r="E42" s="508">
        <f>SUM('W4 Cost &amp; Sales'!I31:I38)</f>
        <v>0</v>
      </c>
      <c r="F42" s="490" t="e">
        <f t="shared" si="10"/>
        <v>#DIV/0!</v>
      </c>
      <c r="G42" s="484">
        <f t="shared" si="11"/>
        <v>0</v>
      </c>
      <c r="J42" s="450"/>
      <c r="M42" s="497"/>
    </row>
    <row r="43" spans="1:13">
      <c r="B43" s="19" t="s">
        <v>16</v>
      </c>
      <c r="C43" s="436" t="e">
        <f>D43/F12</f>
        <v>#DIV/0!</v>
      </c>
      <c r="D43" s="506">
        <f>'W4 Cost &amp; Sales'!I40</f>
        <v>2315.38</v>
      </c>
      <c r="E43" s="507">
        <f>D43</f>
        <v>2315.38</v>
      </c>
      <c r="F43" s="490" t="e">
        <f t="shared" si="10"/>
        <v>#DIV/0!</v>
      </c>
      <c r="G43" s="484">
        <f t="shared" si="11"/>
        <v>0</v>
      </c>
      <c r="J43" s="450"/>
    </row>
    <row r="44" spans="1:13">
      <c r="B44" s="19" t="s">
        <v>218</v>
      </c>
      <c r="C44" s="436">
        <f>'W1 Forecast'!C77</f>
        <v>8.4800000000000014E-2</v>
      </c>
      <c r="D44" s="432">
        <f>F12*C44</f>
        <v>0</v>
      </c>
      <c r="E44" s="508">
        <f>SUM('W4 Cost &amp; Sales'!I41:I48)</f>
        <v>0</v>
      </c>
      <c r="F44" s="490" t="e">
        <f t="shared" si="10"/>
        <v>#DIV/0!</v>
      </c>
      <c r="G44" s="484">
        <f t="shared" si="11"/>
        <v>0</v>
      </c>
      <c r="J44" s="450"/>
    </row>
    <row r="45" spans="1:13">
      <c r="B45" s="19" t="s">
        <v>219</v>
      </c>
      <c r="C45" s="436" t="e">
        <f>D45/F12</f>
        <v>#DIV/0!</v>
      </c>
      <c r="D45" s="506">
        <f>'W1 Forecast'!D78</f>
        <v>0</v>
      </c>
      <c r="E45" s="507">
        <f>D45</f>
        <v>0</v>
      </c>
      <c r="F45" s="490" t="e">
        <f t="shared" si="10"/>
        <v>#DIV/0!</v>
      </c>
      <c r="G45" s="484">
        <f t="shared" si="11"/>
        <v>0</v>
      </c>
    </row>
    <row r="46" spans="1:13" ht="15.75" thickBot="1">
      <c r="A46" s="520">
        <f>'W1 Forecast'!F79</f>
        <v>0.2525</v>
      </c>
      <c r="B46" s="19" t="s">
        <v>220</v>
      </c>
      <c r="C46" s="503" t="e">
        <f>D46/F12</f>
        <v>#DIV/0!</v>
      </c>
      <c r="D46" s="461">
        <f>SUM(D40:D44)*A46</f>
        <v>1780.39328125</v>
      </c>
      <c r="E46" s="528">
        <f>SUM(E40:E44)*A46</f>
        <v>1780.39328125</v>
      </c>
      <c r="F46" s="524" t="e">
        <f t="shared" si="10"/>
        <v>#DIV/0!</v>
      </c>
      <c r="G46" s="461">
        <f t="shared" si="11"/>
        <v>0</v>
      </c>
      <c r="H46" s="450"/>
    </row>
    <row r="47" spans="1:13" ht="15.75" thickBot="1">
      <c r="A47" s="428"/>
      <c r="B47" s="430" t="s">
        <v>18</v>
      </c>
      <c r="C47" s="462" t="e">
        <f>D47/F12</f>
        <v>#DIV/0!</v>
      </c>
      <c r="D47" s="441">
        <f>SUM(D40:D46)</f>
        <v>8831.4557812500007</v>
      </c>
      <c r="E47" s="527">
        <f>SUM(E40:E46)</f>
        <v>8831.4557812500007</v>
      </c>
      <c r="F47" s="522" t="e">
        <f>E47/F12</f>
        <v>#DIV/0!</v>
      </c>
      <c r="G47" s="441">
        <f>SUM(G40:G46)</f>
        <v>0</v>
      </c>
      <c r="H47" s="428"/>
      <c r="I47" s="428"/>
      <c r="J47" s="428"/>
      <c r="K47" s="428"/>
      <c r="L47" s="428"/>
      <c r="M47" s="428"/>
    </row>
    <row r="48" spans="1:13" ht="15.75" thickBot="1">
      <c r="C48" s="433"/>
      <c r="D48" s="8"/>
      <c r="E48" s="7"/>
      <c r="F48" s="449"/>
      <c r="G48" s="8"/>
    </row>
    <row r="49" spans="2:9">
      <c r="B49" s="19" t="s">
        <v>221</v>
      </c>
      <c r="C49" s="437">
        <f>'W1 Forecast'!C82</f>
        <v>8.4099999999999994E-2</v>
      </c>
      <c r="D49" s="509">
        <f>F12*C49</f>
        <v>0</v>
      </c>
      <c r="E49" s="510">
        <f>D49</f>
        <v>0</v>
      </c>
      <c r="F49" s="495" t="e">
        <f>E49/F12</f>
        <v>#DIV/0!</v>
      </c>
      <c r="G49" s="540">
        <f>E49-D49</f>
        <v>0</v>
      </c>
    </row>
    <row r="50" spans="2:9">
      <c r="B50" s="19" t="s">
        <v>166</v>
      </c>
      <c r="C50" s="436">
        <f>'W1 Forecast'!C83</f>
        <v>1.0999999999999999E-2</v>
      </c>
      <c r="D50" s="432">
        <f>F12*C50</f>
        <v>0</v>
      </c>
      <c r="E50" s="517"/>
      <c r="F50" s="490" t="e">
        <f>E50/F12</f>
        <v>#DIV/0!</v>
      </c>
      <c r="G50" s="484">
        <f t="shared" ref="G50:G51" si="12">E50-D50</f>
        <v>0</v>
      </c>
    </row>
    <row r="51" spans="2:9" ht="15.75" thickBot="1">
      <c r="B51" s="19" t="s">
        <v>222</v>
      </c>
      <c r="C51" s="503" t="e">
        <f>D51/F12</f>
        <v>#DIV/0!</v>
      </c>
      <c r="D51" s="519">
        <f>'W1 Forecast'!D84</f>
        <v>9062.5</v>
      </c>
      <c r="E51" s="529">
        <f>D51</f>
        <v>9062.5</v>
      </c>
      <c r="F51" s="524" t="e">
        <f>E51/F12</f>
        <v>#DIV/0!</v>
      </c>
      <c r="G51" s="461">
        <f t="shared" si="12"/>
        <v>0</v>
      </c>
    </row>
    <row r="52" spans="2:9" ht="15.75" thickBot="1">
      <c r="B52" s="430" t="s">
        <v>224</v>
      </c>
      <c r="C52" s="462" t="e">
        <f>D52/F12</f>
        <v>#DIV/0!</v>
      </c>
      <c r="D52" s="441">
        <f>SUM(D49:D51)</f>
        <v>9062.5</v>
      </c>
      <c r="E52" s="521">
        <f>SUM(E49:E51)</f>
        <v>9062.5</v>
      </c>
      <c r="F52" s="522" t="e">
        <f>E52/F12</f>
        <v>#DIV/0!</v>
      </c>
      <c r="G52" s="441">
        <f>SUM(G49:G51)</f>
        <v>0</v>
      </c>
      <c r="H52" s="428"/>
      <c r="I52" s="428"/>
    </row>
    <row r="53" spans="2:9">
      <c r="C53" s="433"/>
      <c r="D53" s="8"/>
      <c r="E53" s="7"/>
      <c r="F53" s="449"/>
      <c r="G53" s="8"/>
    </row>
    <row r="54" spans="2:9">
      <c r="C54" s="438" t="s">
        <v>13</v>
      </c>
      <c r="D54" s="439" t="s">
        <v>12</v>
      </c>
      <c r="E54" s="499" t="s">
        <v>229</v>
      </c>
      <c r="F54" s="500" t="s">
        <v>230</v>
      </c>
      <c r="G54" s="439" t="s">
        <v>51</v>
      </c>
    </row>
    <row r="55" spans="2:9" ht="15.75" thickBot="1">
      <c r="B55" s="430" t="s">
        <v>225</v>
      </c>
      <c r="C55" s="435" t="e">
        <f>D55/F12</f>
        <v>#DIV/0!</v>
      </c>
      <c r="D55" s="492">
        <f>F12-D20-D31-D37-D47-D52</f>
        <v>-17893.955781249999</v>
      </c>
      <c r="E55" s="498">
        <f>F12-E20-E31-E37-E47-E52</f>
        <v>-17893.955781249999</v>
      </c>
      <c r="F55" s="491" t="e">
        <f>E55/F12</f>
        <v>#DIV/0!</v>
      </c>
      <c r="G55" s="492">
        <f>E55-D55</f>
        <v>0</v>
      </c>
      <c r="H55" s="428"/>
      <c r="I55" s="501"/>
    </row>
    <row r="56" spans="2:9">
      <c r="E56" s="36"/>
      <c r="F56" s="449"/>
    </row>
    <row r="57" spans="2:9">
      <c r="B57" s="511"/>
      <c r="C57" t="s">
        <v>232</v>
      </c>
    </row>
    <row r="58" spans="2:9">
      <c r="B58" s="512"/>
      <c r="C58" t="s">
        <v>233</v>
      </c>
    </row>
    <row r="59" spans="2:9">
      <c r="B59" s="513"/>
      <c r="C59" t="s">
        <v>234</v>
      </c>
    </row>
    <row r="60" spans="2:9">
      <c r="B60" s="514"/>
      <c r="C60" t="s">
        <v>234</v>
      </c>
    </row>
    <row r="61" spans="2:9">
      <c r="B61" s="515"/>
      <c r="C61" t="s">
        <v>235</v>
      </c>
    </row>
    <row r="62" spans="2:9">
      <c r="F62" s="449"/>
    </row>
    <row r="63" spans="2:9">
      <c r="F63" s="449"/>
    </row>
    <row r="64" spans="2:9">
      <c r="F64" s="449"/>
    </row>
    <row r="65" spans="6:6">
      <c r="F65" s="449"/>
    </row>
    <row r="66" spans="6:6">
      <c r="F66" s="449"/>
    </row>
    <row r="67" spans="6:6">
      <c r="F67" s="449"/>
    </row>
    <row r="68" spans="6:6">
      <c r="F68" s="449"/>
    </row>
    <row r="69" spans="6:6">
      <c r="F69" s="449"/>
    </row>
    <row r="70" spans="6:6">
      <c r="F70" s="449"/>
    </row>
    <row r="71" spans="6:6">
      <c r="F71" s="449"/>
    </row>
    <row r="72" spans="6:6">
      <c r="F72" s="449"/>
    </row>
    <row r="73" spans="6:6">
      <c r="F73" s="449"/>
    </row>
    <row r="74" spans="6:6">
      <c r="F74" s="449"/>
    </row>
    <row r="75" spans="6:6">
      <c r="F75" s="449"/>
    </row>
    <row r="76" spans="6:6">
      <c r="F76" s="449"/>
    </row>
    <row r="77" spans="6:6">
      <c r="F77" s="449"/>
    </row>
    <row r="78" spans="6:6">
      <c r="F78" s="449"/>
    </row>
    <row r="79" spans="6:6">
      <c r="F79" s="449"/>
    </row>
    <row r="80" spans="6:6">
      <c r="F80" s="449"/>
    </row>
    <row r="81" spans="6:6">
      <c r="F81" s="449"/>
    </row>
    <row r="82" spans="6:6">
      <c r="F82" s="449"/>
    </row>
    <row r="83" spans="6:6">
      <c r="F83" s="449"/>
    </row>
    <row r="84" spans="6:6">
      <c r="F84" s="449"/>
    </row>
    <row r="85" spans="6:6">
      <c r="F85" s="449"/>
    </row>
    <row r="86" spans="6:6">
      <c r="F86" s="449"/>
    </row>
    <row r="87" spans="6:6">
      <c r="F87" s="449"/>
    </row>
    <row r="88" spans="6:6">
      <c r="F88" s="449"/>
    </row>
    <row r="89" spans="6:6">
      <c r="F89" s="449"/>
    </row>
    <row r="90" spans="6:6">
      <c r="F90" s="449"/>
    </row>
    <row r="91" spans="6:6">
      <c r="F91" s="449"/>
    </row>
    <row r="92" spans="6:6">
      <c r="F92" s="449"/>
    </row>
    <row r="93" spans="6:6">
      <c r="F93" s="449"/>
    </row>
    <row r="94" spans="6:6">
      <c r="F94" s="449"/>
    </row>
    <row r="95" spans="6:6">
      <c r="F95" s="449"/>
    </row>
    <row r="96" spans="6:6">
      <c r="F96" s="449"/>
    </row>
    <row r="97" spans="6:6">
      <c r="F97" s="449"/>
    </row>
    <row r="98" spans="6:6">
      <c r="F98" s="449"/>
    </row>
    <row r="99" spans="6:6">
      <c r="F99" s="449"/>
    </row>
    <row r="100" spans="6:6">
      <c r="F100" s="449"/>
    </row>
    <row r="101" spans="6:6">
      <c r="F101" s="449"/>
    </row>
    <row r="102" spans="6:6">
      <c r="F102" s="449"/>
    </row>
    <row r="103" spans="6:6">
      <c r="F103" s="449"/>
    </row>
    <row r="104" spans="6:6">
      <c r="F104" s="449"/>
    </row>
    <row r="105" spans="6:6">
      <c r="F105" s="449"/>
    </row>
    <row r="106" spans="6:6">
      <c r="F106" s="449"/>
    </row>
    <row r="107" spans="6:6">
      <c r="F107" s="449"/>
    </row>
    <row r="108" spans="6:6">
      <c r="F108" s="449"/>
    </row>
    <row r="109" spans="6:6">
      <c r="F109" s="449"/>
    </row>
    <row r="110" spans="6:6">
      <c r="F110" s="449"/>
    </row>
    <row r="111" spans="6:6">
      <c r="F111" s="449"/>
    </row>
    <row r="112" spans="6:6">
      <c r="F112" s="449"/>
    </row>
    <row r="113" spans="6:6">
      <c r="F113" s="449"/>
    </row>
    <row r="114" spans="6:6">
      <c r="F114" s="449"/>
    </row>
    <row r="115" spans="6:6">
      <c r="F115" s="449"/>
    </row>
    <row r="116" spans="6:6">
      <c r="F116" s="449"/>
    </row>
    <row r="117" spans="6:6">
      <c r="F117" s="449"/>
    </row>
    <row r="118" spans="6:6">
      <c r="F118" s="449"/>
    </row>
    <row r="119" spans="6:6">
      <c r="F119" s="449"/>
    </row>
    <row r="120" spans="6:6">
      <c r="F120" s="449"/>
    </row>
    <row r="121" spans="6:6">
      <c r="F121" s="449"/>
    </row>
    <row r="122" spans="6:6">
      <c r="F122" s="449"/>
    </row>
    <row r="123" spans="6:6">
      <c r="F123" s="449"/>
    </row>
    <row r="124" spans="6:6">
      <c r="F124" s="449"/>
    </row>
    <row r="125" spans="6:6">
      <c r="F125" s="449"/>
    </row>
    <row r="126" spans="6:6">
      <c r="F126" s="449"/>
    </row>
    <row r="127" spans="6:6">
      <c r="F127" s="449"/>
    </row>
    <row r="128" spans="6:6">
      <c r="F128" s="449"/>
    </row>
    <row r="129" spans="6:6">
      <c r="F129" s="449"/>
    </row>
    <row r="130" spans="6:6">
      <c r="F130" s="449"/>
    </row>
    <row r="131" spans="6:6">
      <c r="F131" s="449"/>
    </row>
    <row r="132" spans="6:6">
      <c r="F132" s="449"/>
    </row>
    <row r="133" spans="6:6">
      <c r="F133" s="449"/>
    </row>
    <row r="134" spans="6:6">
      <c r="F134" s="449"/>
    </row>
    <row r="135" spans="6:6">
      <c r="F135" s="449"/>
    </row>
    <row r="136" spans="6:6">
      <c r="F136" s="449"/>
    </row>
    <row r="137" spans="6:6">
      <c r="F137" s="449"/>
    </row>
    <row r="138" spans="6:6">
      <c r="F138" s="449"/>
    </row>
    <row r="139" spans="6:6">
      <c r="F139" s="449"/>
    </row>
    <row r="140" spans="6:6">
      <c r="F140" s="449"/>
    </row>
    <row r="141" spans="6:6">
      <c r="F141" s="449"/>
    </row>
    <row r="142" spans="6:6">
      <c r="F142" s="449"/>
    </row>
    <row r="143" spans="6:6">
      <c r="F143" s="449"/>
    </row>
    <row r="144" spans="6:6">
      <c r="F144" s="449"/>
    </row>
    <row r="145" spans="6:6">
      <c r="F145" s="449"/>
    </row>
    <row r="146" spans="6:6">
      <c r="F146" s="449"/>
    </row>
    <row r="147" spans="6:6">
      <c r="F147" s="449"/>
    </row>
    <row r="148" spans="6:6">
      <c r="F148" s="449"/>
    </row>
    <row r="149" spans="6:6">
      <c r="F149" s="449"/>
    </row>
    <row r="150" spans="6:6">
      <c r="F150" s="449"/>
    </row>
    <row r="151" spans="6:6">
      <c r="F151" s="449"/>
    </row>
    <row r="152" spans="6:6">
      <c r="F152" s="449"/>
    </row>
    <row r="153" spans="6:6">
      <c r="F153" s="449"/>
    </row>
    <row r="154" spans="6:6">
      <c r="F154" s="449"/>
    </row>
    <row r="155" spans="6:6">
      <c r="F155" s="449"/>
    </row>
    <row r="156" spans="6:6">
      <c r="F156" s="449"/>
    </row>
    <row r="157" spans="6:6">
      <c r="F157" s="449"/>
    </row>
    <row r="158" spans="6:6">
      <c r="F158" s="449"/>
    </row>
    <row r="159" spans="6:6">
      <c r="F159" s="449"/>
    </row>
    <row r="160" spans="6:6">
      <c r="F160" s="449"/>
    </row>
    <row r="161" spans="6:6">
      <c r="F161" s="449"/>
    </row>
    <row r="162" spans="6:6">
      <c r="F162" s="449"/>
    </row>
  </sheetData>
  <mergeCells count="2">
    <mergeCell ref="C2:D2"/>
    <mergeCell ref="C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R150"/>
  <sheetViews>
    <sheetView topLeftCell="A13" zoomScale="80" zoomScaleNormal="80" workbookViewId="0">
      <selection activeCell="H30" sqref="H30"/>
    </sheetView>
  </sheetViews>
  <sheetFormatPr defaultColWidth="12.5703125" defaultRowHeight="12.75"/>
  <cols>
    <col min="1" max="1" width="1.7109375" style="38" customWidth="1"/>
    <col min="2" max="3" width="12.5703125" style="38"/>
    <col min="4" max="5" width="10.7109375" style="37" customWidth="1"/>
    <col min="6" max="6" width="12.42578125" style="38" customWidth="1"/>
    <col min="7" max="7" width="11.28515625" style="38" customWidth="1"/>
    <col min="8" max="8" width="10.7109375" style="38" customWidth="1"/>
    <col min="9" max="9" width="12.42578125" style="38" customWidth="1"/>
    <col min="10" max="10" width="11.42578125" style="38" customWidth="1"/>
    <col min="11" max="11" width="10.7109375" style="38" customWidth="1"/>
    <col min="12" max="12" width="11.140625" style="38" customWidth="1"/>
    <col min="13" max="13" width="10.7109375" style="38" customWidth="1"/>
    <col min="14" max="14" width="12" style="38" customWidth="1"/>
    <col min="15" max="15" width="11.5703125" style="38" customWidth="1"/>
    <col min="16" max="17" width="10.7109375" style="38" customWidth="1"/>
    <col min="18" max="16384" width="12.5703125" style="38"/>
  </cols>
  <sheetData>
    <row r="1" spans="2:17">
      <c r="B1" s="38" t="s">
        <v>19</v>
      </c>
      <c r="F1" s="1" t="s">
        <v>19</v>
      </c>
      <c r="G1" s="914" t="s">
        <v>19</v>
      </c>
      <c r="H1" s="914"/>
    </row>
    <row r="2" spans="2:17" ht="13.5" thickBot="1">
      <c r="E2" s="930" t="s">
        <v>41</v>
      </c>
      <c r="F2" s="930"/>
      <c r="G2" s="930"/>
      <c r="H2" s="930"/>
      <c r="I2" s="930"/>
      <c r="J2" s="930"/>
      <c r="K2" s="930"/>
      <c r="L2" s="930"/>
      <c r="M2" s="930"/>
      <c r="N2" s="930"/>
      <c r="O2" s="930"/>
    </row>
    <row r="3" spans="2:17" ht="13.5" thickBot="1">
      <c r="F3" s="39"/>
      <c r="G3" s="39"/>
      <c r="H3" s="39"/>
      <c r="L3" s="231" t="s">
        <v>175</v>
      </c>
      <c r="M3" s="268">
        <f>+E17*N3</f>
        <v>2262.9760560000004</v>
      </c>
      <c r="N3" s="269">
        <f>'W1 Cost &amp; Sales'!N3</f>
        <v>1.6200000000000003E-2</v>
      </c>
      <c r="O3" s="270">
        <f>'W1 Cost &amp; Sales'!O3+'W2 Cost &amp; Sales'!O3+'W3 Cost &amp; Sales '!O3+'W4 Cost &amp; Sales'!O3</f>
        <v>1598.75</v>
      </c>
      <c r="P3" s="269">
        <f>+O3/E17</f>
        <v>1.1444995156413621E-2</v>
      </c>
      <c r="Q3" s="271">
        <f>+O3-M3</f>
        <v>-664.22605600000043</v>
      </c>
    </row>
    <row r="4" spans="2:17" ht="13.5" thickBot="1">
      <c r="E4" s="1" t="s">
        <v>20</v>
      </c>
      <c r="F4" s="901" t="str">
        <f>'W1 Forecast'!F2</f>
        <v>Max Fish</v>
      </c>
      <c r="G4" s="902"/>
      <c r="H4" s="1" t="s">
        <v>42</v>
      </c>
      <c r="I4" s="164">
        <f>H17</f>
        <v>79027.220000000016</v>
      </c>
      <c r="J4" s="165">
        <f>I4/E17</f>
        <v>0.56573332298660439</v>
      </c>
      <c r="L4" s="231" t="s">
        <v>176</v>
      </c>
      <c r="M4" s="272">
        <f>+E17*N4</f>
        <v>3617.9678920000001</v>
      </c>
      <c r="N4" s="273">
        <f>'W1 Cost &amp; Sales'!N4</f>
        <v>2.5899999999999999E-2</v>
      </c>
      <c r="O4" s="387">
        <f>'W1 Cost &amp; Sales'!O4+'W2 Cost &amp; Sales'!O4+'W3 Cost &amp; Sales '!O4+'W4 Cost &amp; Sales'!O4</f>
        <v>4583.7829999999994</v>
      </c>
      <c r="P4" s="273">
        <f>+O4/E17</f>
        <v>3.2813994829117177E-2</v>
      </c>
      <c r="Q4" s="275">
        <f>+O4-M4</f>
        <v>965.81510799999933</v>
      </c>
    </row>
    <row r="5" spans="2:17" ht="15.75" customHeight="1" thickBot="1">
      <c r="E5" s="1" t="s">
        <v>86</v>
      </c>
      <c r="F5" s="903">
        <f>'W4 Cost &amp; Sales'!E5</f>
        <v>44248</v>
      </c>
      <c r="G5" s="904"/>
      <c r="H5" s="1" t="s">
        <v>43</v>
      </c>
      <c r="I5" s="166">
        <f>+I50</f>
        <v>43424.400000000009</v>
      </c>
      <c r="J5" s="167">
        <f>I5/E17</f>
        <v>0.31086289142778278</v>
      </c>
      <c r="L5" s="231" t="s">
        <v>191</v>
      </c>
      <c r="M5" s="276">
        <f>+M4+M3</f>
        <v>5880.9439480000001</v>
      </c>
      <c r="N5" s="277">
        <f>+M5/E17</f>
        <v>4.2099999999999999E-2</v>
      </c>
      <c r="O5" s="278">
        <f>+O4+O3</f>
        <v>6182.5329999999994</v>
      </c>
      <c r="P5" s="277">
        <f>+O5/E17</f>
        <v>4.4258989985530801E-2</v>
      </c>
      <c r="Q5" s="279">
        <f>+O5-M5</f>
        <v>301.58905199999936</v>
      </c>
    </row>
    <row r="6" spans="2:17" ht="15.75" thickBot="1">
      <c r="D6" s="142" t="s">
        <v>21</v>
      </c>
      <c r="E6" s="145">
        <f>'W1 Forecast'!E3</f>
        <v>2</v>
      </c>
      <c r="F6" s="144" t="s">
        <v>87</v>
      </c>
      <c r="G6" s="388" t="s">
        <v>88</v>
      </c>
      <c r="H6" s="1" t="s">
        <v>45</v>
      </c>
      <c r="I6" s="168">
        <f>+SUM(I4:I5)</f>
        <v>122451.62000000002</v>
      </c>
      <c r="J6" s="169">
        <f>I6/E17</f>
        <v>0.87659621441438718</v>
      </c>
      <c r="L6" s="231" t="s">
        <v>192</v>
      </c>
      <c r="M6" s="280">
        <f>+E17-M5</f>
        <v>133808.936052</v>
      </c>
      <c r="N6" s="281"/>
      <c r="O6" s="282"/>
      <c r="P6" s="281"/>
      <c r="Q6" s="282"/>
    </row>
    <row r="7" spans="2:17">
      <c r="H7" s="39"/>
      <c r="I7" s="1"/>
    </row>
    <row r="8" spans="2:17" ht="6.75" customHeight="1" thickBot="1">
      <c r="F8" s="40" t="s">
        <v>19</v>
      </c>
      <c r="G8" s="41" t="s">
        <v>19</v>
      </c>
      <c r="H8" s="41"/>
      <c r="I8" s="42"/>
      <c r="J8" s="43"/>
      <c r="K8" s="44"/>
      <c r="L8" s="37"/>
      <c r="M8" s="37"/>
    </row>
    <row r="9" spans="2:17" s="37" customFormat="1" ht="19.5" customHeight="1" thickBot="1">
      <c r="B9" s="915" t="s">
        <v>82</v>
      </c>
      <c r="C9" s="916"/>
      <c r="D9" s="1"/>
      <c r="E9" s="917" t="s">
        <v>19</v>
      </c>
      <c r="F9" s="918"/>
      <c r="G9" s="919"/>
      <c r="H9" s="921" t="s">
        <v>46</v>
      </c>
      <c r="I9" s="921"/>
      <c r="J9" s="921"/>
      <c r="K9" s="921"/>
      <c r="L9" s="921"/>
      <c r="M9" s="921"/>
      <c r="N9" s="923" t="s">
        <v>1</v>
      </c>
      <c r="O9" s="924"/>
      <c r="P9" s="924"/>
      <c r="Q9" s="925"/>
    </row>
    <row r="10" spans="2:17" s="37" customFormat="1" ht="19.5" customHeight="1" thickBot="1">
      <c r="B10" s="181" t="s">
        <v>83</v>
      </c>
      <c r="C10" s="182" t="s">
        <v>84</v>
      </c>
      <c r="D10" s="1"/>
      <c r="E10" s="183" t="s">
        <v>47</v>
      </c>
      <c r="F10" s="184" t="s">
        <v>48</v>
      </c>
      <c r="G10" s="749" t="s">
        <v>38</v>
      </c>
      <c r="H10" s="736" t="s">
        <v>49</v>
      </c>
      <c r="I10" s="185" t="s">
        <v>38</v>
      </c>
      <c r="J10" s="186" t="s">
        <v>50</v>
      </c>
      <c r="K10" s="187" t="s">
        <v>38</v>
      </c>
      <c r="L10" s="750" t="s">
        <v>51</v>
      </c>
      <c r="M10" s="748" t="s">
        <v>38</v>
      </c>
      <c r="N10" s="183" t="s">
        <v>47</v>
      </c>
      <c r="O10" s="184" t="s">
        <v>51</v>
      </c>
      <c r="P10" s="184" t="s">
        <v>80</v>
      </c>
      <c r="Q10" s="188" t="s">
        <v>51</v>
      </c>
    </row>
    <row r="11" spans="2:17" ht="17.45" customHeight="1" thickBot="1">
      <c r="B11" s="382">
        <f>B26</f>
        <v>4527.8200000000006</v>
      </c>
      <c r="C11" s="383">
        <f>C26</f>
        <v>0</v>
      </c>
      <c r="D11" s="1" t="s">
        <v>29</v>
      </c>
      <c r="E11" s="109">
        <f>'W1 Cost &amp; Sales'!E11+'W2 Cost &amp; Sales'!E11+'W3 Cost &amp; Sales '!E11+'W4 Cost &amp; Sales'!E11</f>
        <v>95550.94</v>
      </c>
      <c r="F11" s="128">
        <f>'W1 Cost &amp; Sales'!F11+'W2 Cost &amp; Sales'!F11+'W3 Cost &amp; Sales '!F11+'W4 Cost &amp; Sales'!F11</f>
        <v>29739.58</v>
      </c>
      <c r="G11" s="60">
        <f t="shared" ref="G11:G17" si="0">F11/E11</f>
        <v>0.31124319656091298</v>
      </c>
      <c r="H11" s="45">
        <f>+B11+F11-C11</f>
        <v>34267.4</v>
      </c>
      <c r="I11" s="125">
        <f t="shared" ref="I11:I17" si="1">H11/E11</f>
        <v>0.35862964822742716</v>
      </c>
      <c r="J11" s="109">
        <f>'W1 Cost &amp; Sales'!J11+'W2 Cost &amp; Sales'!J11+'W3 Cost &amp; Sales '!J11+'W4 Cost &amp; Sales'!J11</f>
        <v>27643.556479999999</v>
      </c>
      <c r="K11" s="47">
        <f t="shared" ref="K11:K17" si="2">J11/E11</f>
        <v>0.289307007131484</v>
      </c>
      <c r="L11" s="46">
        <f>H11-J11</f>
        <v>6623.8435200000022</v>
      </c>
      <c r="M11" s="60">
        <f t="shared" ref="M11:M17" si="3">L11/E11</f>
        <v>6.9322641095943188E-2</v>
      </c>
      <c r="N11" s="109">
        <f>'W1 Cost &amp; Sales'!N11+'W2 Cost &amp; Sales'!N11+'W3 Cost &amp; Sales '!N11+'W4 Cost &amp; Sales'!N11</f>
        <v>207470.9</v>
      </c>
      <c r="O11" s="136">
        <f t="shared" ref="O11:O16" si="4">+E11-N11</f>
        <v>-111919.95999999999</v>
      </c>
      <c r="P11" s="128">
        <f>'W1 Cost &amp; Sales'!P11+'W2 Cost &amp; Sales'!P11+'W3 Cost &amp; Sales '!P11+'W4 Cost &amp; Sales'!P11</f>
        <v>30576.300800000001</v>
      </c>
      <c r="Q11" s="137">
        <f t="shared" ref="Q11:Q16" si="5">+H11-P11</f>
        <v>3691.0992000000006</v>
      </c>
    </row>
    <row r="12" spans="2:17" ht="17.45" customHeight="1">
      <c r="B12" s="173">
        <f>'W1 Cost &amp; Sales'!B12</f>
        <v>14819.19</v>
      </c>
      <c r="C12" s="176">
        <f>'W4 Cost &amp; Sales'!C12</f>
        <v>0</v>
      </c>
      <c r="D12" s="1" t="s">
        <v>24</v>
      </c>
      <c r="E12" s="110">
        <f>'W1 Cost &amp; Sales'!E12+'W2 Cost &amp; Sales'!E12+'W3 Cost &amp; Sales '!E12+'W4 Cost &amp; Sales'!E12</f>
        <v>21570.2</v>
      </c>
      <c r="F12" s="127">
        <f>'W1 Cost &amp; Sales'!F12+'W2 Cost &amp; Sales'!F12+'W3 Cost &amp; Sales '!F12+'W4 Cost &amp; Sales'!F12</f>
        <v>3012.2599999999998</v>
      </c>
      <c r="G12" s="62">
        <f t="shared" si="0"/>
        <v>0.13964914558047675</v>
      </c>
      <c r="H12" s="48">
        <f>+B12+F12-C12</f>
        <v>17831.45</v>
      </c>
      <c r="I12" s="51">
        <f t="shared" si="1"/>
        <v>0.82667059183503167</v>
      </c>
      <c r="J12" s="110">
        <f>'W1 Cost &amp; Sales'!J12+'W2 Cost &amp; Sales'!J12+'W3 Cost &amp; Sales '!J12+'W4 Cost &amp; Sales'!J12</f>
        <v>3718.26</v>
      </c>
      <c r="K12" s="50">
        <f t="shared" si="2"/>
        <v>0.17237948651380144</v>
      </c>
      <c r="L12" s="52">
        <f>H12-J12</f>
        <v>14113.19</v>
      </c>
      <c r="M12" s="62">
        <f t="shared" si="3"/>
        <v>0.65429110532123025</v>
      </c>
      <c r="N12" s="110">
        <f>'W1 Cost &amp; Sales'!N12+'W2 Cost &amp; Sales'!N12+'W3 Cost &amp; Sales '!N12+'W4 Cost &amp; Sales'!N12</f>
        <v>32901.050000000003</v>
      </c>
      <c r="O12" s="100">
        <f t="shared" si="4"/>
        <v>-11330.850000000002</v>
      </c>
      <c r="P12" s="127">
        <f>'W1 Cost &amp; Sales'!P12+'W2 Cost &amp; Sales'!P12+'W3 Cost &amp; Sales '!P12+'W4 Cost &amp; Sales'!P12</f>
        <v>3666.9340000000002</v>
      </c>
      <c r="Q12" s="102">
        <f t="shared" si="5"/>
        <v>14164.516</v>
      </c>
    </row>
    <row r="13" spans="2:17" ht="17.45" customHeight="1">
      <c r="B13" s="174">
        <f>'W1 Cost &amp; Sales'!B13</f>
        <v>2893.55</v>
      </c>
      <c r="C13" s="177">
        <f>'W4 Cost &amp; Sales'!C13</f>
        <v>0</v>
      </c>
      <c r="D13" s="1" t="s">
        <v>25</v>
      </c>
      <c r="E13" s="110">
        <f>'W1 Cost &amp; Sales'!E13+'W2 Cost &amp; Sales'!E13+'W3 Cost &amp; Sales '!E13+'W4 Cost &amp; Sales'!E13</f>
        <v>3858.2700000000004</v>
      </c>
      <c r="F13" s="127">
        <f>'W1 Cost &amp; Sales'!F13+'W2 Cost &amp; Sales'!F13+'W3 Cost &amp; Sales '!F13+'W4 Cost &amp; Sales'!F13</f>
        <v>807.72</v>
      </c>
      <c r="G13" s="62">
        <f t="shared" si="0"/>
        <v>0.20934771283502709</v>
      </c>
      <c r="H13" s="48">
        <f>+B13+F13-C13</f>
        <v>3701.2700000000004</v>
      </c>
      <c r="I13" s="51">
        <f t="shared" si="1"/>
        <v>0.95930818734821566</v>
      </c>
      <c r="J13" s="110">
        <f>'W1 Cost &amp; Sales'!J13+'W2 Cost &amp; Sales'!J13+'W3 Cost &amp; Sales '!J13+'W4 Cost &amp; Sales'!J13</f>
        <v>882.93000000000006</v>
      </c>
      <c r="K13" s="50">
        <f t="shared" si="2"/>
        <v>0.22884090537987231</v>
      </c>
      <c r="L13" s="52">
        <f>H13-J13</f>
        <v>2818.34</v>
      </c>
      <c r="M13" s="62">
        <f t="shared" si="3"/>
        <v>0.73046728196834332</v>
      </c>
      <c r="N13" s="110">
        <f>'W1 Cost &amp; Sales'!N13+'W2 Cost &amp; Sales'!N13+'W3 Cost &amp; Sales '!N13+'W4 Cost &amp; Sales'!N13</f>
        <v>15447.250000000002</v>
      </c>
      <c r="O13" s="100">
        <f t="shared" si="4"/>
        <v>-11588.980000000001</v>
      </c>
      <c r="P13" s="127">
        <f>'W1 Cost &amp; Sales'!P13+'W2 Cost &amp; Sales'!P13+'W3 Cost &amp; Sales '!P13+'W4 Cost &amp; Sales'!P13</f>
        <v>733.07130000000006</v>
      </c>
      <c r="Q13" s="102">
        <f t="shared" si="5"/>
        <v>2968.1987000000004</v>
      </c>
    </row>
    <row r="14" spans="2:17" ht="17.45" customHeight="1">
      <c r="B14" s="174">
        <f>'W1 Cost &amp; Sales'!B14</f>
        <v>16628.16</v>
      </c>
      <c r="C14" s="177">
        <f>'W4 Cost &amp; Sales'!C14</f>
        <v>0</v>
      </c>
      <c r="D14" s="1" t="s">
        <v>26</v>
      </c>
      <c r="E14" s="110">
        <f>'W1 Cost &amp; Sales'!E14+'W2 Cost &amp; Sales'!E14+'W3 Cost &amp; Sales '!E14+'W4 Cost &amp; Sales'!E14</f>
        <v>16641.52</v>
      </c>
      <c r="F14" s="127">
        <f>'W1 Cost &amp; Sales'!F14+'W2 Cost &amp; Sales'!F14+'W3 Cost &amp; Sales '!F14+'W4 Cost &amp; Sales'!F14</f>
        <v>4751.5200000000004</v>
      </c>
      <c r="G14" s="62">
        <f t="shared" si="0"/>
        <v>0.28552199558694158</v>
      </c>
      <c r="H14" s="48">
        <f>+B14+F14-C14</f>
        <v>21379.68</v>
      </c>
      <c r="I14" s="51">
        <f t="shared" si="1"/>
        <v>1.2847191843052799</v>
      </c>
      <c r="J14" s="110">
        <f>'W1 Cost &amp; Sales'!J14+'W2 Cost &amp; Sales'!J14+'W3 Cost &amp; Sales '!J14+'W4 Cost &amp; Sales'!J14</f>
        <v>3522.6400000000003</v>
      </c>
      <c r="K14" s="50">
        <f t="shared" si="2"/>
        <v>0.21167777943360944</v>
      </c>
      <c r="L14" s="52">
        <f>H14-J14</f>
        <v>17857.04</v>
      </c>
      <c r="M14" s="62">
        <f t="shared" si="3"/>
        <v>1.0730414048716703</v>
      </c>
      <c r="N14" s="110">
        <f>'W1 Cost &amp; Sales'!N14+'W2 Cost &amp; Sales'!N14+'W3 Cost &amp; Sales '!N14+'W4 Cost &amp; Sales'!N14</f>
        <v>53635.399999999994</v>
      </c>
      <c r="O14" s="100">
        <f t="shared" si="4"/>
        <v>-36993.87999999999</v>
      </c>
      <c r="P14" s="127">
        <f>'W1 Cost &amp; Sales'!P14+'W2 Cost &amp; Sales'!P14+'W3 Cost &amp; Sales '!P14+'W4 Cost &amp; Sales'!P14</f>
        <v>3827.5496000000003</v>
      </c>
      <c r="Q14" s="102">
        <f t="shared" si="5"/>
        <v>17552.130400000002</v>
      </c>
    </row>
    <row r="15" spans="2:17" ht="17.45" customHeight="1">
      <c r="B15" s="174">
        <f>'W1 Cost &amp; Sales'!B15</f>
        <v>1351.1</v>
      </c>
      <c r="C15" s="177">
        <f>'W4 Cost &amp; Sales'!C15</f>
        <v>0</v>
      </c>
      <c r="D15" s="1" t="s">
        <v>85</v>
      </c>
      <c r="E15" s="110">
        <f>'W1 Cost &amp; Sales'!E15+'W2 Cost &amp; Sales'!E15+'W3 Cost &amp; Sales '!E15+'W4 Cost &amp; Sales'!E15</f>
        <v>1918.95</v>
      </c>
      <c r="F15" s="127">
        <f>'W1 Cost &amp; Sales'!F15+'W2 Cost &amp; Sales'!F15+'W3 Cost &amp; Sales '!F15+'W4 Cost &amp; Sales'!F15</f>
        <v>496.32</v>
      </c>
      <c r="G15" s="62">
        <f t="shared" si="0"/>
        <v>0.25864144453998278</v>
      </c>
      <c r="H15" s="48">
        <f>+B15+F15-C15</f>
        <v>1847.4199999999998</v>
      </c>
      <c r="I15" s="51">
        <f t="shared" si="1"/>
        <v>0.96272440657651315</v>
      </c>
      <c r="J15" s="110">
        <f>'W1 Cost &amp; Sales'!J15+'W2 Cost &amp; Sales'!J15+'W3 Cost &amp; Sales '!J15+'W4 Cost &amp; Sales'!J15</f>
        <v>325.64</v>
      </c>
      <c r="K15" s="50">
        <f t="shared" si="2"/>
        <v>0.16969696969696968</v>
      </c>
      <c r="L15" s="52">
        <f>H15-J15</f>
        <v>1521.7799999999997</v>
      </c>
      <c r="M15" s="62">
        <f t="shared" si="3"/>
        <v>0.79302743687954336</v>
      </c>
      <c r="N15" s="110">
        <f>'W1 Cost &amp; Sales'!N15+'W2 Cost &amp; Sales'!N15+'W3 Cost &amp; Sales '!N15+'W4 Cost &amp; Sales'!N15</f>
        <v>9045.4000000000015</v>
      </c>
      <c r="O15" s="100">
        <f t="shared" si="4"/>
        <v>-7126.4500000000016</v>
      </c>
      <c r="P15" s="127">
        <f>'W1 Cost &amp; Sales'!P15+'W2 Cost &amp; Sales'!P15+'W3 Cost &amp; Sales '!P15+'W4 Cost &amp; Sales'!P15</f>
        <v>230.274</v>
      </c>
      <c r="Q15" s="102">
        <f t="shared" si="5"/>
        <v>1617.1459999999997</v>
      </c>
    </row>
    <row r="16" spans="2:17" ht="17.45" customHeight="1" thickBot="1">
      <c r="B16" s="729"/>
      <c r="C16" s="730"/>
      <c r="D16" s="1" t="s">
        <v>241</v>
      </c>
      <c r="E16" s="117">
        <f>'W1 Cost &amp; Sales'!E16+'W2 Cost &amp; Sales'!E16+'W3 Cost &amp; Sales '!E16+'W4 Cost &amp; Sales'!E16</f>
        <v>150</v>
      </c>
      <c r="F16" s="129"/>
      <c r="G16" s="747"/>
      <c r="H16" s="732"/>
      <c r="I16" s="733"/>
      <c r="J16" s="117"/>
      <c r="K16" s="735"/>
      <c r="L16" s="734"/>
      <c r="M16" s="747"/>
      <c r="N16" s="111">
        <f>'W1 Cost &amp; Sales'!N16+'W2 Cost &amp; Sales'!N16+'W3 Cost &amp; Sales '!N16+'W4 Cost &amp; Sales'!N16</f>
        <v>0</v>
      </c>
      <c r="O16" s="103">
        <f t="shared" si="4"/>
        <v>150</v>
      </c>
      <c r="P16" s="131">
        <f>'W1 Cost &amp; Sales'!P16+'W2 Cost &amp; Sales'!P16+'W3 Cost &amp; Sales '!P16+'W4 Cost &amp; Sales'!P16</f>
        <v>0</v>
      </c>
      <c r="Q16" s="104">
        <f t="shared" si="5"/>
        <v>0</v>
      </c>
    </row>
    <row r="17" spans="2:17" s="37" customFormat="1" ht="19.5" customHeight="1" thickBot="1">
      <c r="B17" s="384">
        <f>SUM(B11:B16)</f>
        <v>40219.82</v>
      </c>
      <c r="C17" s="385">
        <f>SUM(C11:C16)</f>
        <v>0</v>
      </c>
      <c r="D17" s="1" t="s">
        <v>0</v>
      </c>
      <c r="E17" s="117">
        <f>SUM(E11:E16)</f>
        <v>139689.88</v>
      </c>
      <c r="F17" s="117">
        <f>SUM(F11:F16)</f>
        <v>38807.4</v>
      </c>
      <c r="G17" s="130">
        <f t="shared" si="0"/>
        <v>0.27781110557185673</v>
      </c>
      <c r="H17" s="117">
        <f>SUM(H11:H16)</f>
        <v>79027.220000000016</v>
      </c>
      <c r="I17" s="119">
        <f t="shared" si="1"/>
        <v>0.56573332298660439</v>
      </c>
      <c r="J17" s="117">
        <f>SUM(J11:J16)</f>
        <v>36093.02648</v>
      </c>
      <c r="K17" s="118">
        <f t="shared" si="2"/>
        <v>0.2583796799023666</v>
      </c>
      <c r="L17" s="117">
        <f>SUM(L11:L16)</f>
        <v>42934.193520000001</v>
      </c>
      <c r="M17" s="130">
        <f t="shared" si="3"/>
        <v>0.30735364308423774</v>
      </c>
      <c r="N17" s="117">
        <f>SUM(N11:N16)</f>
        <v>318500</v>
      </c>
      <c r="O17" s="117">
        <f>SUM(O11:O16)</f>
        <v>-178810.12</v>
      </c>
      <c r="P17" s="117">
        <f>SUM(P11:P16)</f>
        <v>39034.129699999998</v>
      </c>
      <c r="Q17" s="740">
        <f>SUM(Q11:Q16)</f>
        <v>39993.090300000003</v>
      </c>
    </row>
    <row r="18" spans="2:17" ht="15.75" customHeight="1" thickBot="1">
      <c r="B18" s="98"/>
      <c r="C18" s="98"/>
      <c r="D18" s="1"/>
      <c r="E18" s="65"/>
      <c r="F18" s="56"/>
      <c r="G18" s="57"/>
      <c r="H18" s="58"/>
      <c r="I18" s="59"/>
      <c r="J18" s="58"/>
      <c r="K18" s="57"/>
      <c r="L18" s="56"/>
      <c r="M18" s="57"/>
    </row>
    <row r="19" spans="2:17" ht="15.75" customHeight="1">
      <c r="B19" s="179">
        <f>'W1 Cost &amp; Sales'!B19</f>
        <v>1586.22</v>
      </c>
      <c r="C19" s="180">
        <f>'W4 Cost &amp; Sales'!C19</f>
        <v>0</v>
      </c>
      <c r="E19" s="1" t="s">
        <v>30</v>
      </c>
      <c r="F19" s="109">
        <f>'W1 Cost &amp; Sales'!F19+'W2 Cost &amp; Sales'!F19+'W3 Cost &amp; Sales '!F19+'W4 Cost &amp; Sales'!F19</f>
        <v>3074.67</v>
      </c>
      <c r="G19" s="47">
        <f>F19/$E$11</f>
        <v>3.2178333358101968E-2</v>
      </c>
      <c r="H19" s="46">
        <f t="shared" ref="H19:H25" si="6">+B19+F19-C19</f>
        <v>4660.8900000000003</v>
      </c>
      <c r="I19" s="132">
        <f>H19/$E$11</f>
        <v>4.8779111958500883E-2</v>
      </c>
      <c r="J19" s="109">
        <f>'W1 Cost &amp; Sales'!J19+'W2 Cost &amp; Sales'!J19+'W3 Cost &amp; Sales '!J19+'W4 Cost &amp; Sales'!J19</f>
        <v>2121.87</v>
      </c>
      <c r="K19" s="47">
        <f>J19/$E$11</f>
        <v>2.2206688913787763E-2</v>
      </c>
      <c r="L19" s="46">
        <f t="shared" ref="L19:L26" si="7">H19-J19</f>
        <v>2539.0200000000004</v>
      </c>
      <c r="M19" s="47">
        <f>L19/$E$11</f>
        <v>2.6572423044713116E-2</v>
      </c>
    </row>
    <row r="20" spans="2:17" ht="15.75" customHeight="1">
      <c r="B20" s="174">
        <f>'W1 Cost &amp; Sales'!B20</f>
        <v>2764.34</v>
      </c>
      <c r="C20" s="177">
        <f>'W4 Cost &amp; Sales'!C20</f>
        <v>0</v>
      </c>
      <c r="E20" s="1" t="s">
        <v>31</v>
      </c>
      <c r="F20" s="110">
        <f>'W1 Cost &amp; Sales'!F20+'W2 Cost &amp; Sales'!F20+'W3 Cost &amp; Sales '!F20+'W4 Cost &amp; Sales'!F20</f>
        <v>15794.14</v>
      </c>
      <c r="G20" s="50">
        <f t="shared" ref="G20:G26" si="8">F20/$E$11</f>
        <v>0.16529549578476149</v>
      </c>
      <c r="H20" s="52">
        <f t="shared" si="6"/>
        <v>18558.48</v>
      </c>
      <c r="I20" s="133">
        <f t="shared" ref="I20:I26" si="9">H20/$E$11</f>
        <v>0.19422603273186009</v>
      </c>
      <c r="J20" s="110">
        <f>'W1 Cost &amp; Sales'!J20+'W2 Cost &amp; Sales'!J20+'W3 Cost &amp; Sales '!J20+'W4 Cost &amp; Sales'!J20</f>
        <v>16058.64</v>
      </c>
      <c r="K20" s="50">
        <f t="shared" ref="K20:K26" si="10">J20/$E$11</f>
        <v>0.1680636527489944</v>
      </c>
      <c r="L20" s="52">
        <f t="shared" si="7"/>
        <v>2499.84</v>
      </c>
      <c r="M20" s="50">
        <f t="shared" ref="M20:M26" si="11">L20/$E$11</f>
        <v>2.6162379982865684E-2</v>
      </c>
    </row>
    <row r="21" spans="2:17" ht="15.75" customHeight="1">
      <c r="B21" s="174">
        <f>'W1 Cost &amp; Sales'!B21</f>
        <v>177.26</v>
      </c>
      <c r="C21" s="177">
        <f>'W4 Cost &amp; Sales'!C21</f>
        <v>0</v>
      </c>
      <c r="E21" s="1" t="s">
        <v>32</v>
      </c>
      <c r="F21" s="110">
        <f>'W1 Cost &amp; Sales'!F21+'W2 Cost &amp; Sales'!F21+'W3 Cost &amp; Sales '!F21+'W4 Cost &amp; Sales'!F21</f>
        <v>922.32</v>
      </c>
      <c r="G21" s="50">
        <f t="shared" si="8"/>
        <v>9.6526522920653644E-3</v>
      </c>
      <c r="H21" s="52">
        <f t="shared" si="6"/>
        <v>1099.58</v>
      </c>
      <c r="I21" s="133">
        <f t="shared" si="9"/>
        <v>1.1507788411082088E-2</v>
      </c>
      <c r="J21" s="110">
        <f>'W1 Cost &amp; Sales'!J21+'W2 Cost &amp; Sales'!J21+'W3 Cost &amp; Sales '!J21+'W4 Cost &amp; Sales'!J21</f>
        <v>672.36</v>
      </c>
      <c r="K21" s="50">
        <f t="shared" si="10"/>
        <v>7.0366654687018257E-3</v>
      </c>
      <c r="L21" s="52">
        <f t="shared" si="7"/>
        <v>427.21999999999991</v>
      </c>
      <c r="M21" s="50">
        <f t="shared" si="11"/>
        <v>4.4711229423802625E-3</v>
      </c>
    </row>
    <row r="22" spans="2:17" ht="15.75" customHeight="1">
      <c r="B22" s="174">
        <f>'W1 Cost &amp; Sales'!B22</f>
        <v>0</v>
      </c>
      <c r="C22" s="177">
        <f>'W4 Cost &amp; Sales'!C22</f>
        <v>0</v>
      </c>
      <c r="E22" s="1" t="s">
        <v>33</v>
      </c>
      <c r="F22" s="110">
        <f>'W1 Cost &amp; Sales'!F22+'W2 Cost &amp; Sales'!F22+'W3 Cost &amp; Sales '!F22+'W4 Cost &amp; Sales'!F22</f>
        <v>2149.38</v>
      </c>
      <c r="G22" s="50">
        <f t="shared" si="8"/>
        <v>2.2494598169311573E-2</v>
      </c>
      <c r="H22" s="52">
        <f t="shared" si="6"/>
        <v>2149.38</v>
      </c>
      <c r="I22" s="133">
        <f t="shared" si="9"/>
        <v>2.2494598169311573E-2</v>
      </c>
      <c r="J22" s="110">
        <f>'W1 Cost &amp; Sales'!J22+'W2 Cost &amp; Sales'!J22+'W3 Cost &amp; Sales '!J22+'W4 Cost &amp; Sales'!J22</f>
        <v>2006.5697400000004</v>
      </c>
      <c r="K22" s="50">
        <f t="shared" si="10"/>
        <v>2.1000000000000005E-2</v>
      </c>
      <c r="L22" s="52">
        <f t="shared" si="7"/>
        <v>142.81025999999974</v>
      </c>
      <c r="M22" s="50">
        <f t="shared" si="11"/>
        <v>1.4945981693115708E-3</v>
      </c>
    </row>
    <row r="23" spans="2:17" ht="15.75" customHeight="1">
      <c r="B23" s="174">
        <f>'W1 Cost &amp; Sales'!B23</f>
        <v>0</v>
      </c>
      <c r="C23" s="177">
        <f>'W4 Cost &amp; Sales'!C23</f>
        <v>0</v>
      </c>
      <c r="E23" s="1" t="s">
        <v>34</v>
      </c>
      <c r="F23" s="110">
        <f>'W1 Cost &amp; Sales'!F23+'W2 Cost &amp; Sales'!F23+'W3 Cost &amp; Sales '!F23+'W4 Cost &amp; Sales'!F23</f>
        <v>3770.91</v>
      </c>
      <c r="G23" s="50">
        <f t="shared" si="8"/>
        <v>3.9464917875219226E-2</v>
      </c>
      <c r="H23" s="52">
        <f t="shared" si="6"/>
        <v>3770.91</v>
      </c>
      <c r="I23" s="133">
        <f t="shared" si="9"/>
        <v>3.9464917875219226E-2</v>
      </c>
      <c r="J23" s="110">
        <f>'W1 Cost &amp; Sales'!J23+'W2 Cost &amp; Sales'!J23+'W3 Cost &amp; Sales '!J23+'W4 Cost &amp; Sales'!J23</f>
        <v>2770.9772600000006</v>
      </c>
      <c r="K23" s="50">
        <f t="shared" si="10"/>
        <v>2.9000000000000005E-2</v>
      </c>
      <c r="L23" s="52">
        <f t="shared" si="7"/>
        <v>999.93273999999928</v>
      </c>
      <c r="M23" s="50">
        <f t="shared" si="11"/>
        <v>1.0464917875219221E-2</v>
      </c>
    </row>
    <row r="24" spans="2:17" ht="15.75" customHeight="1">
      <c r="B24" s="174">
        <f>'W1 Cost &amp; Sales'!B24</f>
        <v>0</v>
      </c>
      <c r="C24" s="177">
        <f>'W4 Cost &amp; Sales'!C24</f>
        <v>0</v>
      </c>
      <c r="E24" s="1" t="s">
        <v>35</v>
      </c>
      <c r="F24" s="110">
        <f>'W1 Cost &amp; Sales'!F24+'W2 Cost &amp; Sales'!F24+'W3 Cost &amp; Sales '!F24+'W4 Cost &amp; Sales'!F24</f>
        <v>538.38</v>
      </c>
      <c r="G24" s="50">
        <f t="shared" si="8"/>
        <v>5.6344814608835867E-3</v>
      </c>
      <c r="H24" s="52">
        <f t="shared" si="6"/>
        <v>538.38</v>
      </c>
      <c r="I24" s="133">
        <f t="shared" si="9"/>
        <v>5.6344814608835867E-3</v>
      </c>
      <c r="J24" s="110">
        <f>'W1 Cost &amp; Sales'!J24+'W2 Cost &amp; Sales'!J24+'W3 Cost &amp; Sales '!J24+'W4 Cost &amp; Sales'!J24</f>
        <v>1911.0188000000001</v>
      </c>
      <c r="K24" s="50">
        <f t="shared" si="10"/>
        <v>0.02</v>
      </c>
      <c r="L24" s="52">
        <f t="shared" si="7"/>
        <v>-1372.6388000000002</v>
      </c>
      <c r="M24" s="50">
        <f t="shared" si="11"/>
        <v>-1.4365518539116414E-2</v>
      </c>
    </row>
    <row r="25" spans="2:17" ht="15.75" customHeight="1" thickBot="1">
      <c r="B25" s="194">
        <f>'W1 Cost &amp; Sales'!B25</f>
        <v>0</v>
      </c>
      <c r="C25" s="177">
        <f>'W4 Cost &amp; Sales'!C25</f>
        <v>0</v>
      </c>
      <c r="E25" s="1" t="s">
        <v>52</v>
      </c>
      <c r="F25" s="111">
        <f>'W1 Cost &amp; Sales'!F25+'W2 Cost &amp; Sales'!F25+'W3 Cost &amp; Sales '!F25+'W4 Cost &amp; Sales'!F25</f>
        <v>3489.7799999999997</v>
      </c>
      <c r="G25" s="55">
        <f t="shared" si="8"/>
        <v>3.6522717620569717E-2</v>
      </c>
      <c r="H25" s="54">
        <f t="shared" si="6"/>
        <v>3489.7799999999997</v>
      </c>
      <c r="I25" s="134">
        <f t="shared" si="9"/>
        <v>3.6522717620569717E-2</v>
      </c>
      <c r="J25" s="111">
        <f>'W1 Cost &amp; Sales'!J25+'W2 Cost &amp; Sales'!J25+'W3 Cost &amp; Sales '!J25+'W4 Cost &amp; Sales'!J25</f>
        <v>2102.12068</v>
      </c>
      <c r="K25" s="55">
        <f t="shared" si="10"/>
        <v>2.1999999999999999E-2</v>
      </c>
      <c r="L25" s="54">
        <f t="shared" si="7"/>
        <v>1387.6593199999998</v>
      </c>
      <c r="M25" s="55">
        <f t="shared" si="11"/>
        <v>1.4522717620569716E-2</v>
      </c>
      <c r="O25" s="64"/>
    </row>
    <row r="26" spans="2:17" s="37" customFormat="1" ht="15.75" customHeight="1" thickBot="1">
      <c r="B26" s="384">
        <f>SUM(B19:B25)</f>
        <v>4527.8200000000006</v>
      </c>
      <c r="C26" s="385">
        <f>SUM(C19:C25)</f>
        <v>0</v>
      </c>
      <c r="E26" s="1" t="s">
        <v>0</v>
      </c>
      <c r="F26" s="117">
        <f>SUM(F19:F25)</f>
        <v>29739.579999999998</v>
      </c>
      <c r="G26" s="130">
        <f t="shared" si="8"/>
        <v>0.31124319656091293</v>
      </c>
      <c r="H26" s="117">
        <f>SUM(H19:H25)</f>
        <v>34267.4</v>
      </c>
      <c r="I26" s="119">
        <f t="shared" si="9"/>
        <v>0.35862964822742716</v>
      </c>
      <c r="J26" s="135">
        <f>SUM(J19:J25)</f>
        <v>27643.556479999999</v>
      </c>
      <c r="K26" s="130">
        <f t="shared" si="10"/>
        <v>0.289307007131484</v>
      </c>
      <c r="L26" s="112">
        <f t="shared" si="7"/>
        <v>6623.8435200000022</v>
      </c>
      <c r="M26" s="121">
        <f t="shared" si="11"/>
        <v>6.9322641095943188E-2</v>
      </c>
    </row>
    <row r="27" spans="2:17" ht="15.75" customHeight="1" thickBot="1">
      <c r="E27" s="1"/>
      <c r="F27" s="56"/>
      <c r="G27" s="57"/>
      <c r="H27" s="56"/>
      <c r="I27" s="59"/>
      <c r="J27" s="56"/>
      <c r="K27" s="57"/>
      <c r="L27" s="56"/>
      <c r="M27" s="57"/>
    </row>
    <row r="28" spans="2:17" ht="15.75" customHeight="1" thickBot="1">
      <c r="D28" s="1"/>
      <c r="E28" s="65"/>
      <c r="F28" s="931" t="s">
        <v>59</v>
      </c>
      <c r="G28" s="932"/>
      <c r="H28" s="946"/>
      <c r="I28" s="933" t="s">
        <v>81</v>
      </c>
      <c r="J28" s="934"/>
      <c r="K28" s="934"/>
      <c r="L28" s="934"/>
      <c r="M28" s="934"/>
      <c r="N28" s="935"/>
      <c r="O28" s="947" t="s">
        <v>51</v>
      </c>
      <c r="P28" s="937"/>
    </row>
    <row r="29" spans="2:17" ht="44.25" customHeight="1" thickBot="1">
      <c r="D29" s="1"/>
      <c r="E29" s="1"/>
      <c r="F29" s="241" t="s">
        <v>40</v>
      </c>
      <c r="G29" s="193" t="s">
        <v>15</v>
      </c>
      <c r="H29" s="395" t="s">
        <v>38</v>
      </c>
      <c r="I29" s="243" t="s">
        <v>56</v>
      </c>
      <c r="J29" s="191" t="s">
        <v>53</v>
      </c>
      <c r="K29" s="191" t="s">
        <v>54</v>
      </c>
      <c r="L29" s="191" t="s">
        <v>55</v>
      </c>
      <c r="M29" s="191" t="s">
        <v>57</v>
      </c>
      <c r="N29" s="192" t="s">
        <v>58</v>
      </c>
      <c r="O29" s="400" t="s">
        <v>60</v>
      </c>
      <c r="P29" s="381" t="s">
        <v>61</v>
      </c>
    </row>
    <row r="30" spans="2:17" ht="16.149999999999999" customHeight="1">
      <c r="B30" s="386"/>
      <c r="D30" s="1"/>
      <c r="E30" s="1" t="s">
        <v>17</v>
      </c>
      <c r="F30" s="405">
        <f>+H30*E17</f>
        <v>4009.0995560000001</v>
      </c>
      <c r="G30" s="237"/>
      <c r="H30" s="413">
        <v>2.87E-2</v>
      </c>
      <c r="I30" s="405">
        <f>'W1 Cost &amp; Sales'!I30+'W2 Cost &amp; Sales'!I30+'W3 Cost &amp; Sales '!I30+'W4 Cost &amp; Sales'!I30</f>
        <v>11153.84</v>
      </c>
      <c r="J30" s="238"/>
      <c r="K30" s="238"/>
      <c r="L30" s="238"/>
      <c r="M30" s="406">
        <f>+I30/E17</f>
        <v>7.9847158577271302E-2</v>
      </c>
      <c r="N30" s="239"/>
      <c r="O30" s="405">
        <f t="shared" ref="O30:O47" si="12">+I30-F30</f>
        <v>7144.740444</v>
      </c>
      <c r="P30" s="240"/>
    </row>
    <row r="31" spans="2:17" ht="15.6" customHeight="1">
      <c r="D31" s="1"/>
      <c r="E31" s="1" t="s">
        <v>3</v>
      </c>
      <c r="F31" s="324">
        <f>H31*E17</f>
        <v>5587.5952000000007</v>
      </c>
      <c r="G31" s="325">
        <f t="shared" ref="G31:G36" si="13">F31/N31</f>
        <v>369.27381753240633</v>
      </c>
      <c r="H31" s="396">
        <f>+'W1 Forecast'!E20</f>
        <v>0.04</v>
      </c>
      <c r="I31" s="324">
        <f>'W1 Cost &amp; Sales'!I31+'W2 Cost &amp; Sales'!I31+'W3 Cost &amp; Sales '!I31+'W4 Cost &amp; Sales'!I31</f>
        <v>8583.99</v>
      </c>
      <c r="J31" s="325">
        <f>'W1 Cost &amp; Sales'!J31+'W2 Cost &amp; Sales'!J31+'W3 Cost &amp; Sales '!J31+'W4 Cost &amp; Sales'!J31</f>
        <v>555.79999999999995</v>
      </c>
      <c r="K31" s="325">
        <f>'W1 Cost &amp; Sales'!K31+'W2 Cost &amp; Sales'!K31+'W3 Cost &amp; Sales '!K31+'W4 Cost &amp; Sales'!K31</f>
        <v>11.5</v>
      </c>
      <c r="L31" s="325">
        <f>+K31+J31</f>
        <v>567.29999999999995</v>
      </c>
      <c r="M31" s="330">
        <f t="shared" ref="M31:M38" si="14">+I31/$E$17</f>
        <v>6.1450335557593716E-2</v>
      </c>
      <c r="N31" s="332">
        <f t="shared" ref="N31:N39" si="15">+I31/L31</f>
        <v>15.131306187202538</v>
      </c>
      <c r="O31" s="324">
        <f t="shared" si="12"/>
        <v>2996.3947999999991</v>
      </c>
      <c r="P31" s="332">
        <f>+L31-G31</f>
        <v>198.02618246759363</v>
      </c>
    </row>
    <row r="32" spans="2:17" ht="15.75" customHeight="1">
      <c r="D32" s="1"/>
      <c r="E32" s="1" t="s">
        <v>168</v>
      </c>
      <c r="F32" s="324">
        <f>H32*E17</f>
        <v>1885.8133800000001</v>
      </c>
      <c r="G32" s="325">
        <f t="shared" si="13"/>
        <v>90.661957641207806</v>
      </c>
      <c r="H32" s="396">
        <f>+'W1 Forecast'!E21</f>
        <v>1.35E-2</v>
      </c>
      <c r="I32" s="324">
        <f>'W1 Cost &amp; Sales'!I32+'W2 Cost &amp; Sales'!I32+'W3 Cost &amp; Sales '!I32+'W4 Cost &amp; Sales'!I32</f>
        <v>1689</v>
      </c>
      <c r="J32" s="325">
        <f>'W1 Cost &amp; Sales'!J32+'W2 Cost &amp; Sales'!J32+'W3 Cost &amp; Sales '!J32+'W4 Cost &amp; Sales'!J32</f>
        <v>74.599999999999994</v>
      </c>
      <c r="K32" s="325">
        <f>'W1 Cost &amp; Sales'!K32+'W2 Cost &amp; Sales'!K32+'W3 Cost &amp; Sales '!K32+'W4 Cost &amp; Sales'!K32</f>
        <v>6.6</v>
      </c>
      <c r="L32" s="325">
        <f>+K32+J32</f>
        <v>81.199999999999989</v>
      </c>
      <c r="M32" s="330">
        <f t="shared" si="14"/>
        <v>1.20910691597702E-2</v>
      </c>
      <c r="N32" s="332">
        <f t="shared" si="15"/>
        <v>20.800492610837441</v>
      </c>
      <c r="O32" s="324">
        <f t="shared" si="12"/>
        <v>-196.81338000000005</v>
      </c>
      <c r="P32" s="332">
        <f t="shared" ref="P32:P38" si="16">+L32-G32</f>
        <v>-9.4619576412078175</v>
      </c>
    </row>
    <row r="33" spans="4:16" ht="15.75" customHeight="1">
      <c r="D33" s="1"/>
      <c r="E33" s="1" t="s">
        <v>169</v>
      </c>
      <c r="F33" s="324">
        <f>H33*E17</f>
        <v>1438.805764</v>
      </c>
      <c r="G33" s="325">
        <f t="shared" si="13"/>
        <v>94.906426716279071</v>
      </c>
      <c r="H33" s="396">
        <f>+'W1 Forecast'!E22</f>
        <v>1.03E-2</v>
      </c>
      <c r="I33" s="324">
        <f>'W1 Cost &amp; Sales'!I33+'W2 Cost &amp; Sales'!I33+'W3 Cost &amp; Sales '!I33+'W4 Cost &amp; Sales'!I33</f>
        <v>236.5</v>
      </c>
      <c r="J33" s="325">
        <f>'W1 Cost &amp; Sales'!J33+'W2 Cost &amp; Sales'!J33+'W3 Cost &amp; Sales '!J33+'W4 Cost &amp; Sales'!J33</f>
        <v>15.6</v>
      </c>
      <c r="K33" s="325">
        <f>'W1 Cost &amp; Sales'!K33+'W2 Cost &amp; Sales'!K33+'W3 Cost &amp; Sales '!K33+'W4 Cost &amp; Sales'!K33</f>
        <v>0</v>
      </c>
      <c r="L33" s="325">
        <f>+K33+J33</f>
        <v>15.6</v>
      </c>
      <c r="M33" s="330">
        <f t="shared" si="14"/>
        <v>1.6930360309565732E-3</v>
      </c>
      <c r="N33" s="332">
        <f t="shared" si="15"/>
        <v>15.160256410256411</v>
      </c>
      <c r="O33" s="324">
        <f t="shared" si="12"/>
        <v>-1202.305764</v>
      </c>
      <c r="P33" s="332">
        <f t="shared" si="16"/>
        <v>-79.306426716279077</v>
      </c>
    </row>
    <row r="34" spans="4:16" ht="15.75" customHeight="1">
      <c r="D34" s="1"/>
      <c r="E34" s="1" t="s">
        <v>4</v>
      </c>
      <c r="F34" s="324">
        <f>H34*E17</f>
        <v>628.60446000000002</v>
      </c>
      <c r="G34" s="325">
        <f t="shared" si="13"/>
        <v>47.760445030041417</v>
      </c>
      <c r="H34" s="396">
        <f>+'W1 Forecast'!E23</f>
        <v>4.4999999999999997E-3</v>
      </c>
      <c r="I34" s="324">
        <f>'W1 Cost &amp; Sales'!I34+'W2 Cost &amp; Sales'!I34+'W3 Cost &amp; Sales '!I34+'W4 Cost &amp; Sales'!I34</f>
        <v>1371.44</v>
      </c>
      <c r="J34" s="325">
        <f>'W1 Cost &amp; Sales'!J34+'W2 Cost &amp; Sales'!J34+'W3 Cost &amp; Sales '!J34+'W4 Cost &amp; Sales'!J34</f>
        <v>104.2</v>
      </c>
      <c r="K34" s="325">
        <f>'W1 Cost &amp; Sales'!K34+'W2 Cost &amp; Sales'!K34+'W3 Cost &amp; Sales '!K34+'W4 Cost &amp; Sales'!K34</f>
        <v>0</v>
      </c>
      <c r="L34" s="325">
        <f t="shared" ref="L34:L47" si="17">+K34+J34</f>
        <v>104.2</v>
      </c>
      <c r="M34" s="330">
        <f t="shared" si="14"/>
        <v>9.8177477137212799E-3</v>
      </c>
      <c r="N34" s="332">
        <f t="shared" si="15"/>
        <v>13.161612284069099</v>
      </c>
      <c r="O34" s="324">
        <f t="shared" si="12"/>
        <v>742.83554000000004</v>
      </c>
      <c r="P34" s="332">
        <f t="shared" si="16"/>
        <v>56.439554969958586</v>
      </c>
    </row>
    <row r="35" spans="4:16" ht="15.75" customHeight="1">
      <c r="D35" s="1"/>
      <c r="E35" s="1" t="s">
        <v>170</v>
      </c>
      <c r="F35" s="324">
        <f>H35*E17</f>
        <v>698.44940000000008</v>
      </c>
      <c r="G35" s="325" t="e">
        <f t="shared" si="13"/>
        <v>#DIV/0!</v>
      </c>
      <c r="H35" s="396">
        <f>+'W1 Forecast'!E24</f>
        <v>5.0000000000000001E-3</v>
      </c>
      <c r="I35" s="324">
        <f>'W1 Cost &amp; Sales'!I35+'W2 Cost &amp; Sales'!I35+'W3 Cost &amp; Sales '!I35+'W4 Cost &amp; Sales'!I35</f>
        <v>0</v>
      </c>
      <c r="J35" s="325">
        <f>'W1 Cost &amp; Sales'!J35+'W2 Cost &amp; Sales'!J35+'W3 Cost &amp; Sales '!J35+'W4 Cost &amp; Sales'!J35</f>
        <v>0</v>
      </c>
      <c r="K35" s="325">
        <f>'W1 Cost &amp; Sales'!K35+'W2 Cost &amp; Sales'!K35+'W3 Cost &amp; Sales '!K35+'W4 Cost &amp; Sales'!K35</f>
        <v>0</v>
      </c>
      <c r="L35" s="325">
        <f>+K35+J35</f>
        <v>0</v>
      </c>
      <c r="M35" s="330">
        <f t="shared" si="14"/>
        <v>0</v>
      </c>
      <c r="N35" s="332" t="e">
        <f t="shared" si="15"/>
        <v>#DIV/0!</v>
      </c>
      <c r="O35" s="324">
        <f t="shared" si="12"/>
        <v>-698.44940000000008</v>
      </c>
      <c r="P35" s="332" t="e">
        <f t="shared" si="16"/>
        <v>#DIV/0!</v>
      </c>
    </row>
    <row r="36" spans="4:16" ht="15.75" customHeight="1">
      <c r="D36" s="1"/>
      <c r="E36" s="1" t="s">
        <v>5</v>
      </c>
      <c r="F36" s="324">
        <f>H36*E17</f>
        <v>2095.3481999999999</v>
      </c>
      <c r="G36" s="325">
        <f t="shared" si="13"/>
        <v>174.70429963138491</v>
      </c>
      <c r="H36" s="396">
        <f>+'W1 Forecast'!E25</f>
        <v>1.4999999999999999E-2</v>
      </c>
      <c r="I36" s="324">
        <f>'W1 Cost &amp; Sales'!I36+'W2 Cost &amp; Sales'!I36+'W3 Cost &amp; Sales '!I36+'W4 Cost &amp; Sales'!I36</f>
        <v>2050.92</v>
      </c>
      <c r="J36" s="325">
        <f>'W1 Cost &amp; Sales'!J36+'W2 Cost &amp; Sales'!J36+'W3 Cost &amp; Sales '!J36+'W4 Cost &amp; Sales'!J36</f>
        <v>171</v>
      </c>
      <c r="K36" s="325">
        <f>'W1 Cost &amp; Sales'!K36+'W2 Cost &amp; Sales'!K36+'W3 Cost &amp; Sales '!K36+'W4 Cost &amp; Sales'!K36</f>
        <v>0</v>
      </c>
      <c r="L36" s="325">
        <f t="shared" si="17"/>
        <v>171</v>
      </c>
      <c r="M36" s="330">
        <f t="shared" si="14"/>
        <v>1.4681951190737653E-2</v>
      </c>
      <c r="N36" s="332">
        <f t="shared" si="15"/>
        <v>11.993684210526316</v>
      </c>
      <c r="O36" s="324">
        <f t="shared" si="12"/>
        <v>-44.428199999999833</v>
      </c>
      <c r="P36" s="332">
        <f t="shared" si="16"/>
        <v>-3.704299631384913</v>
      </c>
    </row>
    <row r="37" spans="4:16" ht="15.75" customHeight="1">
      <c r="D37" s="1"/>
      <c r="E37" s="1" t="s">
        <v>162</v>
      </c>
      <c r="F37" s="324">
        <f>H37*E17</f>
        <v>0</v>
      </c>
      <c r="G37" s="325"/>
      <c r="H37" s="396">
        <f>+'W1 Forecast'!E26</f>
        <v>0</v>
      </c>
      <c r="I37" s="324">
        <f>'W1 Cost &amp; Sales'!I37+'W2 Cost &amp; Sales'!I37+'W3 Cost &amp; Sales '!I37+'W4 Cost &amp; Sales'!I37</f>
        <v>0</v>
      </c>
      <c r="J37" s="325">
        <f>'W1 Cost &amp; Sales'!J37+'W2 Cost &amp; Sales'!J37+'W3 Cost &amp; Sales '!J37+'W4 Cost &amp; Sales'!J37</f>
        <v>0</v>
      </c>
      <c r="K37" s="325">
        <f>'W1 Cost &amp; Sales'!K37+'W2 Cost &amp; Sales'!K37+'W3 Cost &amp; Sales '!K37+'W4 Cost &amp; Sales'!K37</f>
        <v>0</v>
      </c>
      <c r="L37" s="325">
        <f>+K37+J37</f>
        <v>0</v>
      </c>
      <c r="M37" s="330">
        <f t="shared" si="14"/>
        <v>0</v>
      </c>
      <c r="N37" s="332" t="e">
        <f t="shared" si="15"/>
        <v>#DIV/0!</v>
      </c>
      <c r="O37" s="324">
        <f t="shared" si="12"/>
        <v>0</v>
      </c>
      <c r="P37" s="332">
        <f t="shared" si="16"/>
        <v>0</v>
      </c>
    </row>
    <row r="38" spans="4:16" ht="15.75" customHeight="1" thickBot="1">
      <c r="D38" s="1"/>
      <c r="E38" s="1"/>
      <c r="F38" s="327">
        <f>H38*E17</f>
        <v>0</v>
      </c>
      <c r="G38" s="328">
        <v>0</v>
      </c>
      <c r="H38" s="397">
        <f>+'W1 Forecast'!E27</f>
        <v>0</v>
      </c>
      <c r="I38" s="324">
        <f>'W1 Cost &amp; Sales'!I38+'W2 Cost &amp; Sales'!I38+'W3 Cost &amp; Sales '!I38+'W4 Cost &amp; Sales'!I38</f>
        <v>0</v>
      </c>
      <c r="J38" s="325">
        <f>'W1 Cost &amp; Sales'!J38+'W2 Cost &amp; Sales'!J38+'W3 Cost &amp; Sales '!J38+'W4 Cost &amp; Sales'!J38</f>
        <v>0</v>
      </c>
      <c r="K38" s="325">
        <f>'W1 Cost &amp; Sales'!K38+'W2 Cost &amp; Sales'!K38+'W3 Cost &amp; Sales '!K38+'W4 Cost &amp; Sales'!K38</f>
        <v>0</v>
      </c>
      <c r="L38" s="328">
        <f>+K38+J38</f>
        <v>0</v>
      </c>
      <c r="M38" s="331">
        <f t="shared" si="14"/>
        <v>0</v>
      </c>
      <c r="N38" s="333" t="e">
        <f t="shared" si="15"/>
        <v>#DIV/0!</v>
      </c>
      <c r="O38" s="327">
        <f t="shared" si="12"/>
        <v>0</v>
      </c>
      <c r="P38" s="332">
        <f t="shared" si="16"/>
        <v>0</v>
      </c>
    </row>
    <row r="39" spans="4:16" s="248" customFormat="1" ht="15.75" customHeight="1" thickBot="1">
      <c r="D39" s="247"/>
      <c r="E39" s="140" t="s">
        <v>6</v>
      </c>
      <c r="F39" s="336">
        <f>SUM(F30:F38)</f>
        <v>16343.715960000001</v>
      </c>
      <c r="G39" s="337" t="e">
        <f>SUM(G31:G38)</f>
        <v>#DIV/0!</v>
      </c>
      <c r="H39" s="398">
        <f>SUM(H30:H38)</f>
        <v>0.11700000000000001</v>
      </c>
      <c r="I39" s="339">
        <f>SUM(I30:I38)</f>
        <v>25085.690000000002</v>
      </c>
      <c r="J39" s="337">
        <f>SUM(J31:J38)</f>
        <v>921.2</v>
      </c>
      <c r="K39" s="337">
        <f>SUM(K31:K38)</f>
        <v>18.100000000000001</v>
      </c>
      <c r="L39" s="337">
        <f>SUM(L31:L38)</f>
        <v>939.30000000000007</v>
      </c>
      <c r="M39" s="340">
        <f>+I39/E17</f>
        <v>0.17958129823005076</v>
      </c>
      <c r="N39" s="341">
        <f t="shared" si="15"/>
        <v>26.706792292132441</v>
      </c>
      <c r="O39" s="336">
        <f t="shared" si="12"/>
        <v>8741.974040000001</v>
      </c>
      <c r="P39" s="341" t="e">
        <f>+L39-G39</f>
        <v>#DIV/0!</v>
      </c>
    </row>
    <row r="40" spans="4:16" ht="15.75" customHeight="1">
      <c r="D40" s="1"/>
      <c r="E40" s="10" t="s">
        <v>16</v>
      </c>
      <c r="F40" s="414">
        <f>+H40*E17</f>
        <v>3101.1153360000003</v>
      </c>
      <c r="G40" s="245"/>
      <c r="H40" s="415">
        <v>2.2200000000000001E-2</v>
      </c>
      <c r="I40" s="403">
        <f>'W1 Cost &amp; Sales'!I40+'W2 Cost &amp; Sales'!I40+'W3 Cost &amp; Sales '!I40+'W4 Cost &amp; Sales'!I40</f>
        <v>9261.52</v>
      </c>
      <c r="J40" s="245"/>
      <c r="K40" s="245"/>
      <c r="L40" s="245"/>
      <c r="M40" s="411">
        <f>+I40/E17</f>
        <v>6.6300579540908761E-2</v>
      </c>
      <c r="N40" s="246"/>
      <c r="O40" s="414">
        <f t="shared" si="12"/>
        <v>6160.4046639999997</v>
      </c>
      <c r="P40" s="246"/>
    </row>
    <row r="41" spans="4:16" ht="15.75" customHeight="1">
      <c r="D41" s="1"/>
      <c r="E41" s="1" t="s">
        <v>7</v>
      </c>
      <c r="F41" s="324">
        <f>H41*E17</f>
        <v>4539.9211000000005</v>
      </c>
      <c r="G41" s="325">
        <f t="shared" ref="G41:G46" si="18">F41/N41</f>
        <v>694.46604414034982</v>
      </c>
      <c r="H41" s="396">
        <f>+'W1 Forecast'!E30</f>
        <v>3.2500000000000001E-2</v>
      </c>
      <c r="I41" s="324">
        <f>'W1 Cost &amp; Sales'!I41+'W2 Cost &amp; Sales'!I41+'W3 Cost &amp; Sales '!I41+'W4 Cost &amp; Sales'!I41</f>
        <v>3050.95</v>
      </c>
      <c r="J41" s="325">
        <f>'W1 Cost &amp; Sales'!J41+'W2 Cost &amp; Sales'!J41+'W3 Cost &amp; Sales '!J41+'W4 Cost &amp; Sales'!J41</f>
        <v>466.7</v>
      </c>
      <c r="K41" s="325">
        <f>'W1 Cost &amp; Sales'!K41+'W2 Cost &amp; Sales'!K41+'W3 Cost &amp; Sales '!K41+'W4 Cost &amp; Sales'!K41</f>
        <v>0</v>
      </c>
      <c r="L41" s="325">
        <f t="shared" si="17"/>
        <v>466.7</v>
      </c>
      <c r="M41" s="330">
        <f t="shared" ref="M41:M47" si="19">+I41/$E$17</f>
        <v>2.1840880670811656E-2</v>
      </c>
      <c r="N41" s="332">
        <f t="shared" ref="N41:N49" si="20">+I41/L41</f>
        <v>6.5372830512106272</v>
      </c>
      <c r="O41" s="324">
        <f t="shared" si="12"/>
        <v>-1488.9711000000007</v>
      </c>
      <c r="P41" s="332">
        <f>+L41-G41</f>
        <v>-227.76604414034983</v>
      </c>
    </row>
    <row r="42" spans="4:16" ht="15.75" customHeight="1">
      <c r="D42" s="1"/>
      <c r="E42" s="1" t="s">
        <v>8</v>
      </c>
      <c r="F42" s="324">
        <f>H42*E17</f>
        <v>1396.8988000000002</v>
      </c>
      <c r="G42" s="325">
        <f t="shared" si="18"/>
        <v>107.44461739909612</v>
      </c>
      <c r="H42" s="396">
        <f>+'W1 Forecast'!E31</f>
        <v>0.01</v>
      </c>
      <c r="I42" s="324">
        <f>'W1 Cost &amp; Sales'!I42+'W2 Cost &amp; Sales'!I42+'W3 Cost &amp; Sales '!I42+'W4 Cost &amp; Sales'!I42</f>
        <v>1528.9299999999998</v>
      </c>
      <c r="J42" s="325">
        <f>'W1 Cost &amp; Sales'!J42+'W2 Cost &amp; Sales'!J42+'W3 Cost &amp; Sales '!J42+'W4 Cost &amp; Sales'!J42</f>
        <v>117.6</v>
      </c>
      <c r="K42" s="325">
        <f>'W1 Cost &amp; Sales'!K42+'W2 Cost &amp; Sales'!K42+'W3 Cost &amp; Sales '!K42+'W4 Cost &amp; Sales'!K42</f>
        <v>0</v>
      </c>
      <c r="L42" s="325">
        <f t="shared" si="17"/>
        <v>117.6</v>
      </c>
      <c r="M42" s="330">
        <f t="shared" si="19"/>
        <v>1.0945173694758703E-2</v>
      </c>
      <c r="N42" s="332">
        <f t="shared" si="20"/>
        <v>13.00110544217687</v>
      </c>
      <c r="O42" s="324">
        <f t="shared" si="12"/>
        <v>132.03119999999967</v>
      </c>
      <c r="P42" s="332">
        <f t="shared" ref="P42:P47" si="21">+L42-G42</f>
        <v>10.155382600903877</v>
      </c>
    </row>
    <row r="43" spans="4:16" ht="15.75" customHeight="1">
      <c r="D43" s="1"/>
      <c r="E43" s="1" t="s">
        <v>172</v>
      </c>
      <c r="F43" s="324">
        <f>H43*E17</f>
        <v>2374.7279600000002</v>
      </c>
      <c r="G43" s="325">
        <f t="shared" si="18"/>
        <v>110.37484009647176</v>
      </c>
      <c r="H43" s="396">
        <f>+'W1 Forecast'!E32</f>
        <v>1.7000000000000001E-2</v>
      </c>
      <c r="I43" s="324">
        <f>'W1 Cost &amp; Sales'!I43+'W2 Cost &amp; Sales'!I43+'W3 Cost &amp; Sales '!I43+'W4 Cost &amp; Sales'!I43</f>
        <v>626.09</v>
      </c>
      <c r="J43" s="325">
        <f>'W1 Cost &amp; Sales'!J43+'W2 Cost &amp; Sales'!J43+'W3 Cost &amp; Sales '!J43+'W4 Cost &amp; Sales'!J43</f>
        <v>29.1</v>
      </c>
      <c r="K43" s="325">
        <f>'W1 Cost &amp; Sales'!K43+'W2 Cost &amp; Sales'!K43+'W3 Cost &amp; Sales '!K43+'W4 Cost &amp; Sales'!K43</f>
        <v>0</v>
      </c>
      <c r="L43" s="325">
        <f>+K43+J43</f>
        <v>29.1</v>
      </c>
      <c r="M43" s="330">
        <f t="shared" si="19"/>
        <v>4.4819996981885872E-3</v>
      </c>
      <c r="N43" s="332">
        <f t="shared" si="20"/>
        <v>21.515120274914089</v>
      </c>
      <c r="O43" s="324">
        <f t="shared" si="12"/>
        <v>-1748.63796</v>
      </c>
      <c r="P43" s="332">
        <f t="shared" si="21"/>
        <v>-81.274840096471763</v>
      </c>
    </row>
    <row r="44" spans="4:16" ht="15.75" customHeight="1">
      <c r="D44" s="1"/>
      <c r="E44" s="1" t="s">
        <v>162</v>
      </c>
      <c r="F44" s="324">
        <f>H44*E17</f>
        <v>0</v>
      </c>
      <c r="G44" s="325" t="e">
        <f t="shared" si="18"/>
        <v>#DIV/0!</v>
      </c>
      <c r="H44" s="396"/>
      <c r="I44" s="324">
        <f>'W1 Cost &amp; Sales'!I44+'W2 Cost &amp; Sales'!I44+'W3 Cost &amp; Sales '!I44+'W4 Cost &amp; Sales'!I44</f>
        <v>0</v>
      </c>
      <c r="J44" s="325">
        <f>'W1 Cost &amp; Sales'!J44+'W2 Cost &amp; Sales'!J44+'W3 Cost &amp; Sales '!J44+'W4 Cost &amp; Sales'!J44</f>
        <v>0</v>
      </c>
      <c r="K44" s="325">
        <f>'W1 Cost &amp; Sales'!K44+'W2 Cost &amp; Sales'!K44+'W3 Cost &amp; Sales '!K44+'W4 Cost &amp; Sales'!K44</f>
        <v>0</v>
      </c>
      <c r="L44" s="325">
        <f>+K44+J44</f>
        <v>0</v>
      </c>
      <c r="M44" s="330">
        <f t="shared" ref="M44" si="22">+I44/$E$17</f>
        <v>0</v>
      </c>
      <c r="N44" s="332" t="e">
        <f t="shared" ref="N44" si="23">+I44/L44</f>
        <v>#DIV/0!</v>
      </c>
      <c r="O44" s="324">
        <f t="shared" ref="O44" si="24">+I44-F44</f>
        <v>0</v>
      </c>
      <c r="P44" s="332" t="e">
        <f t="shared" ref="P44" si="25">+L44-G44</f>
        <v>#DIV/0!</v>
      </c>
    </row>
    <row r="45" spans="4:16" ht="15.75" customHeight="1">
      <c r="D45" s="1"/>
      <c r="E45" s="1" t="s">
        <v>9</v>
      </c>
      <c r="F45" s="324">
        <f>H45*E17</f>
        <v>1508.6507040000001</v>
      </c>
      <c r="G45" s="325">
        <f t="shared" si="18"/>
        <v>135.85319168741182</v>
      </c>
      <c r="H45" s="396">
        <f>+'W1 Forecast'!E34</f>
        <v>1.0800000000000001E-2</v>
      </c>
      <c r="I45" s="324">
        <f>'W1 Cost &amp; Sales'!I45+'W2 Cost &amp; Sales'!I45+'W3 Cost &amp; Sales '!I45+'W4 Cost &amp; Sales'!I45</f>
        <v>2239.88</v>
      </c>
      <c r="J45" s="325">
        <f>'W1 Cost &amp; Sales'!J45+'W2 Cost &amp; Sales'!J45+'W3 Cost &amp; Sales '!J45+'W4 Cost &amp; Sales'!J45</f>
        <v>201.7</v>
      </c>
      <c r="K45" s="325">
        <f>'W1 Cost &amp; Sales'!K45+'W2 Cost &amp; Sales'!K45+'W3 Cost &amp; Sales '!K45+'W4 Cost &amp; Sales'!K45</f>
        <v>0</v>
      </c>
      <c r="L45" s="325">
        <f t="shared" si="17"/>
        <v>201.7</v>
      </c>
      <c r="M45" s="330">
        <f t="shared" si="19"/>
        <v>1.603466192397044E-2</v>
      </c>
      <c r="N45" s="332">
        <f t="shared" si="20"/>
        <v>11.105007436787309</v>
      </c>
      <c r="O45" s="324">
        <f t="shared" si="12"/>
        <v>731.22929599999998</v>
      </c>
      <c r="P45" s="332">
        <f t="shared" si="21"/>
        <v>65.846808312588166</v>
      </c>
    </row>
    <row r="46" spans="4:16" ht="15.75" customHeight="1">
      <c r="D46" s="1"/>
      <c r="E46" s="1" t="str">
        <f>'W1 Forecast'!B35</f>
        <v>Busser 2:</v>
      </c>
      <c r="F46" s="324">
        <f>H46*E17</f>
        <v>1047.6741</v>
      </c>
      <c r="G46" s="325" t="e">
        <f t="shared" si="18"/>
        <v>#DIV/0!</v>
      </c>
      <c r="H46" s="396">
        <f>+'W1 Forecast'!E35</f>
        <v>7.4999999999999997E-3</v>
      </c>
      <c r="I46" s="324">
        <f>'W1 Cost &amp; Sales'!I46+'W2 Cost &amp; Sales'!I46+'W3 Cost &amp; Sales '!I46+'W4 Cost &amp; Sales'!I46</f>
        <v>0</v>
      </c>
      <c r="J46" s="325">
        <f>'W1 Cost &amp; Sales'!J46+'W2 Cost &amp; Sales'!J46+'W3 Cost &amp; Sales '!J46+'W4 Cost &amp; Sales'!J46</f>
        <v>0</v>
      </c>
      <c r="K46" s="325">
        <f>'W1 Cost &amp; Sales'!K46+'W2 Cost &amp; Sales'!K46+'W3 Cost &amp; Sales '!K46+'W4 Cost &amp; Sales'!K46</f>
        <v>0</v>
      </c>
      <c r="L46" s="325">
        <f t="shared" si="17"/>
        <v>0</v>
      </c>
      <c r="M46" s="330">
        <f t="shared" si="19"/>
        <v>0</v>
      </c>
      <c r="N46" s="332" t="e">
        <f t="shared" si="20"/>
        <v>#DIV/0!</v>
      </c>
      <c r="O46" s="324">
        <f t="shared" si="12"/>
        <v>-1047.6741</v>
      </c>
      <c r="P46" s="332" t="e">
        <f t="shared" si="21"/>
        <v>#DIV/0!</v>
      </c>
    </row>
    <row r="47" spans="4:16" ht="15.75" customHeight="1">
      <c r="D47" s="1"/>
      <c r="E47" s="1" t="str">
        <f>'W1 Forecast'!B36</f>
        <v>Busser 1:</v>
      </c>
      <c r="F47" s="324">
        <f>H47*E17</f>
        <v>558.75952000000007</v>
      </c>
      <c r="G47" s="325">
        <f>F47/N47</f>
        <v>46.573846319659545</v>
      </c>
      <c r="H47" s="396">
        <f>+'W1 Forecast'!E36</f>
        <v>4.0000000000000001E-3</v>
      </c>
      <c r="I47" s="324">
        <f>'W1 Cost &amp; Sales'!I47+'W2 Cost &amp; Sales'!I47+'W3 Cost &amp; Sales '!I47+'W4 Cost &amp; Sales'!I47</f>
        <v>1588.44</v>
      </c>
      <c r="J47" s="325">
        <f>'W1 Cost &amp; Sales'!J47+'W2 Cost &amp; Sales'!J47+'W3 Cost &amp; Sales '!J47+'W4 Cost &amp; Sales'!J47</f>
        <v>132.4</v>
      </c>
      <c r="K47" s="325">
        <f>'W1 Cost &amp; Sales'!K47+'W2 Cost &amp; Sales'!K47+'W3 Cost &amp; Sales '!K47+'W4 Cost &amp; Sales'!K47</f>
        <v>0</v>
      </c>
      <c r="L47" s="325">
        <f t="shared" si="17"/>
        <v>132.4</v>
      </c>
      <c r="M47" s="330">
        <f t="shared" si="19"/>
        <v>1.1371188807664521E-2</v>
      </c>
      <c r="N47" s="332">
        <f t="shared" si="20"/>
        <v>11.997280966767372</v>
      </c>
      <c r="O47" s="324">
        <f t="shared" si="12"/>
        <v>1029.68048</v>
      </c>
      <c r="P47" s="332">
        <f t="shared" si="21"/>
        <v>85.826153680340468</v>
      </c>
    </row>
    <row r="48" spans="4:16" ht="15.75" customHeight="1" thickBot="1">
      <c r="D48" s="1"/>
      <c r="E48" s="1" t="str">
        <f>'W1 Forecast'!B37</f>
        <v>Busser 3:</v>
      </c>
      <c r="F48" s="324">
        <f>H48*E17</f>
        <v>419.06964000000005</v>
      </c>
      <c r="G48" s="325">
        <f>F48/N48</f>
        <v>32.236126153846158</v>
      </c>
      <c r="H48" s="396">
        <f>+'W1 Forecast'!E37</f>
        <v>3.0000000000000001E-3</v>
      </c>
      <c r="I48" s="324">
        <f>'W1 Cost &amp; Sales'!I48+'W2 Cost &amp; Sales'!I48+'W3 Cost &amp; Sales '!I48+'W4 Cost &amp; Sales'!I48</f>
        <v>42.9</v>
      </c>
      <c r="J48" s="325">
        <f>'W1 Cost &amp; Sales'!J48+'W2 Cost &amp; Sales'!J48+'W3 Cost &amp; Sales '!J48+'W4 Cost &amp; Sales'!J48</f>
        <v>3.3</v>
      </c>
      <c r="K48" s="325">
        <f>'W1 Cost &amp; Sales'!K48+'W2 Cost &amp; Sales'!K48+'W3 Cost &amp; Sales '!K48+'W4 Cost &amp; Sales'!K48</f>
        <v>0</v>
      </c>
      <c r="L48" s="325">
        <f t="shared" ref="L48" si="26">+K48+J48</f>
        <v>3.3</v>
      </c>
      <c r="M48" s="330">
        <f t="shared" ref="M48" si="27">+I48/$E$17</f>
        <v>3.0710886142933189E-4</v>
      </c>
      <c r="N48" s="332">
        <f t="shared" ref="N48" si="28">+I48/L48</f>
        <v>13</v>
      </c>
      <c r="O48" s="324">
        <f t="shared" ref="O48" si="29">+I48-F48</f>
        <v>-376.16964000000007</v>
      </c>
      <c r="P48" s="332">
        <f t="shared" ref="P48" si="30">+L48-G48</f>
        <v>-28.936126153846157</v>
      </c>
    </row>
    <row r="49" spans="4:18" ht="15.75" customHeight="1" thickBot="1">
      <c r="D49" s="1"/>
      <c r="E49" s="10" t="s">
        <v>11</v>
      </c>
      <c r="F49" s="336">
        <f>SUM(F40:F48)</f>
        <v>14946.817160000001</v>
      </c>
      <c r="G49" s="337" t="e">
        <f>SUM(G41:G48)</f>
        <v>#DIV/0!</v>
      </c>
      <c r="H49" s="398">
        <f>SUM(H40:H48)</f>
        <v>0.10700000000000001</v>
      </c>
      <c r="I49" s="339">
        <f>SUM(I40:I48)</f>
        <v>18338.710000000003</v>
      </c>
      <c r="J49" s="337">
        <f>SUM(J41:J48)</f>
        <v>950.79999999999984</v>
      </c>
      <c r="K49" s="337">
        <f>SUM(K41:K48)</f>
        <v>0</v>
      </c>
      <c r="L49" s="337">
        <f>SUM(L41:L48)</f>
        <v>950.79999999999984</v>
      </c>
      <c r="M49" s="343">
        <f>+I49/E17</f>
        <v>0.13128159319773203</v>
      </c>
      <c r="N49" s="341">
        <f t="shared" si="20"/>
        <v>19.287663020614225</v>
      </c>
      <c r="O49" s="339">
        <f>SUM(O40:O48)</f>
        <v>3391.8928399999986</v>
      </c>
      <c r="P49" s="345" t="e">
        <f>+L49-G49</f>
        <v>#DIV/0!</v>
      </c>
    </row>
    <row r="50" spans="4:18" ht="15.75" customHeight="1" thickBot="1">
      <c r="D50" s="1"/>
      <c r="E50" s="10" t="s">
        <v>0</v>
      </c>
      <c r="F50" s="346">
        <f t="shared" ref="F50:M50" si="31">+F49+F39</f>
        <v>31290.53312</v>
      </c>
      <c r="G50" s="347" t="e">
        <f t="shared" si="31"/>
        <v>#DIV/0!</v>
      </c>
      <c r="H50" s="399">
        <f t="shared" si="31"/>
        <v>0.22400000000000003</v>
      </c>
      <c r="I50" s="349">
        <f t="shared" si="31"/>
        <v>43424.400000000009</v>
      </c>
      <c r="J50" s="347">
        <f t="shared" si="31"/>
        <v>1872</v>
      </c>
      <c r="K50" s="347">
        <f t="shared" si="31"/>
        <v>18.100000000000001</v>
      </c>
      <c r="L50" s="347">
        <f t="shared" si="31"/>
        <v>1890.1</v>
      </c>
      <c r="M50" s="350">
        <f t="shared" si="31"/>
        <v>0.31086289142778278</v>
      </c>
      <c r="N50" s="391">
        <f>+I50/L50</f>
        <v>22.974657425533046</v>
      </c>
      <c r="O50" s="346">
        <f>+O49+O39</f>
        <v>12133.86688</v>
      </c>
      <c r="P50" s="351" t="e">
        <f>+P49+P39</f>
        <v>#DIV/0!</v>
      </c>
      <c r="R50" s="249"/>
    </row>
    <row r="51" spans="4:18" ht="15.75" hidden="1" customHeight="1">
      <c r="D51" s="1"/>
      <c r="E51" s="65"/>
      <c r="F51" s="56"/>
      <c r="G51" s="57"/>
      <c r="H51" s="58"/>
      <c r="I51" s="59"/>
      <c r="J51" s="58"/>
      <c r="K51" s="57"/>
      <c r="L51" s="56"/>
      <c r="M51" s="57"/>
    </row>
    <row r="52" spans="4:18" ht="15.75" hidden="1" customHeight="1">
      <c r="D52" s="1"/>
      <c r="E52" s="65"/>
      <c r="F52" s="56"/>
      <c r="G52" s="57"/>
      <c r="H52" s="58"/>
      <c r="I52" s="59"/>
      <c r="J52" s="58"/>
      <c r="K52" s="57"/>
      <c r="L52" s="56"/>
      <c r="M52" s="57"/>
    </row>
    <row r="53" spans="4:18" ht="15.75" hidden="1" customHeight="1">
      <c r="D53" s="1"/>
      <c r="E53" s="65"/>
      <c r="F53" s="56"/>
      <c r="G53" s="57"/>
      <c r="H53" s="58"/>
      <c r="I53" s="59"/>
      <c r="J53" s="58"/>
      <c r="K53" s="57"/>
      <c r="L53" s="56"/>
      <c r="M53" s="57"/>
    </row>
    <row r="54" spans="4:18" ht="15.75" hidden="1" customHeight="1">
      <c r="D54" s="1"/>
      <c r="E54" s="65"/>
      <c r="F54" s="56"/>
      <c r="G54" s="57"/>
      <c r="H54" s="58"/>
      <c r="I54" s="59"/>
      <c r="J54" s="58"/>
      <c r="K54" s="57"/>
      <c r="L54" s="56"/>
      <c r="M54" s="57"/>
    </row>
    <row r="55" spans="4:18" ht="15.75" hidden="1" customHeight="1">
      <c r="D55" s="1"/>
      <c r="E55" s="40"/>
      <c r="F55" s="66"/>
      <c r="G55" s="66"/>
      <c r="H55" s="67"/>
      <c r="I55" s="66"/>
      <c r="J55" s="68"/>
      <c r="K55" s="66"/>
      <c r="L55" s="56"/>
      <c r="M55" s="66"/>
    </row>
    <row r="56" spans="4:18" hidden="1">
      <c r="E56" s="926" t="s">
        <v>15</v>
      </c>
      <c r="F56" s="927"/>
      <c r="G56" s="927"/>
      <c r="H56" s="928"/>
      <c r="I56" s="929"/>
      <c r="J56" s="926" t="s">
        <v>62</v>
      </c>
      <c r="K56" s="928"/>
      <c r="L56" s="928"/>
      <c r="M56" s="928"/>
      <c r="N56" s="928"/>
      <c r="O56" s="929"/>
    </row>
    <row r="57" spans="4:18" ht="25.5" hidden="1">
      <c r="E57" s="113" t="s">
        <v>63</v>
      </c>
      <c r="F57" s="69" t="s">
        <v>64</v>
      </c>
      <c r="G57" s="69" t="s">
        <v>2</v>
      </c>
      <c r="H57" s="69" t="s">
        <v>59</v>
      </c>
      <c r="I57" s="70" t="s">
        <v>51</v>
      </c>
      <c r="J57" s="71" t="s">
        <v>65</v>
      </c>
      <c r="K57" s="71" t="s">
        <v>66</v>
      </c>
      <c r="L57" s="69" t="s">
        <v>38</v>
      </c>
      <c r="M57" s="69" t="s">
        <v>12</v>
      </c>
      <c r="N57" s="69" t="s">
        <v>13</v>
      </c>
      <c r="O57" s="72" t="s">
        <v>67</v>
      </c>
    </row>
    <row r="58" spans="4:18" hidden="1">
      <c r="D58" s="1" t="s">
        <v>68</v>
      </c>
      <c r="E58" s="114">
        <v>190</v>
      </c>
      <c r="F58" s="73">
        <v>0</v>
      </c>
      <c r="G58" s="73">
        <f>+E58+F58</f>
        <v>190</v>
      </c>
      <c r="H58" s="73">
        <f>+F58+G58</f>
        <v>190</v>
      </c>
      <c r="I58" s="74">
        <f>+E58-H58</f>
        <v>0</v>
      </c>
      <c r="J58" s="75">
        <f>K58/G58</f>
        <v>13.936842105263159</v>
      </c>
      <c r="K58" s="49">
        <v>2648</v>
      </c>
      <c r="L58" s="76">
        <f>K58/$E$17</f>
        <v>1.8956276574938712E-2</v>
      </c>
      <c r="M58" s="49">
        <f>+K58</f>
        <v>2648</v>
      </c>
      <c r="N58" s="77">
        <f>+M58/E17</f>
        <v>1.8956276574938712E-2</v>
      </c>
      <c r="O58" s="78">
        <f>+K58-M58</f>
        <v>0</v>
      </c>
    </row>
    <row r="59" spans="4:18" hidden="1">
      <c r="D59" s="1" t="s">
        <v>69</v>
      </c>
      <c r="E59" s="114">
        <v>35.01</v>
      </c>
      <c r="F59" s="73">
        <v>0</v>
      </c>
      <c r="G59" s="73">
        <v>35.01</v>
      </c>
      <c r="H59" s="79">
        <v>0</v>
      </c>
      <c r="I59" s="74">
        <v>0</v>
      </c>
      <c r="J59" s="75">
        <v>0</v>
      </c>
      <c r="K59" s="49">
        <v>630.17999999999995</v>
      </c>
      <c r="L59" s="76">
        <v>0</v>
      </c>
      <c r="M59" s="49">
        <f>+J59*H59</f>
        <v>0</v>
      </c>
      <c r="N59" s="77">
        <v>0</v>
      </c>
      <c r="O59" s="80">
        <v>0</v>
      </c>
    </row>
    <row r="60" spans="4:18" hidden="1">
      <c r="D60" s="1" t="s">
        <v>70</v>
      </c>
      <c r="E60" s="114">
        <v>110</v>
      </c>
      <c r="F60" s="73">
        <v>0</v>
      </c>
      <c r="G60" s="73">
        <f>E60+F60</f>
        <v>110</v>
      </c>
      <c r="H60" s="79">
        <f>+M60/J60</f>
        <v>110</v>
      </c>
      <c r="I60" s="74">
        <f>+E60-H60</f>
        <v>0</v>
      </c>
      <c r="J60" s="75">
        <f>K60/G60</f>
        <v>19.40909090909091</v>
      </c>
      <c r="K60" s="49">
        <v>2135</v>
      </c>
      <c r="L60" s="76">
        <f>K60/$E$17</f>
        <v>1.5283855924280269E-2</v>
      </c>
      <c r="M60" s="49">
        <f>+K60</f>
        <v>2135</v>
      </c>
      <c r="N60" s="77">
        <f>+M60/E17</f>
        <v>1.5283855924280269E-2</v>
      </c>
      <c r="O60" s="80">
        <f>+K60-M60</f>
        <v>0</v>
      </c>
    </row>
    <row r="61" spans="4:18" hidden="1">
      <c r="D61" s="1" t="s">
        <v>71</v>
      </c>
      <c r="E61" s="114"/>
      <c r="F61" s="73"/>
      <c r="G61" s="73">
        <f>+E61+F61</f>
        <v>0</v>
      </c>
      <c r="H61" s="79">
        <f>'[3]Schedule Planner - New'!R40</f>
        <v>350.69440124806869</v>
      </c>
      <c r="I61" s="74">
        <f t="shared" ref="I61:I68" si="32">+G61-H61</f>
        <v>-350.69440124806869</v>
      </c>
      <c r="J61" s="75" t="e">
        <f>+K61/G61</f>
        <v>#DIV/0!</v>
      </c>
      <c r="K61" s="49"/>
      <c r="L61" s="76">
        <f>+K61/E$17</f>
        <v>0</v>
      </c>
      <c r="M61" s="81" t="e">
        <f>+H61*J61</f>
        <v>#DIV/0!</v>
      </c>
      <c r="N61" s="76" t="e">
        <f>+M61/E$17</f>
        <v>#DIV/0!</v>
      </c>
      <c r="O61" s="80" t="e">
        <f>+K61-M61</f>
        <v>#DIV/0!</v>
      </c>
    </row>
    <row r="62" spans="4:18" hidden="1">
      <c r="D62" s="1" t="s">
        <v>72</v>
      </c>
      <c r="E62" s="114"/>
      <c r="F62" s="73"/>
      <c r="G62" s="73">
        <f t="shared" ref="G62:G68" si="33">+E62+F62</f>
        <v>0</v>
      </c>
      <c r="H62" s="79">
        <f>'[3]Schedule Planner - New'!R41</f>
        <v>422.85637871826748</v>
      </c>
      <c r="I62" s="74">
        <f t="shared" si="32"/>
        <v>-422.85637871826748</v>
      </c>
      <c r="J62" s="75" t="e">
        <f t="shared" ref="J62:J75" si="34">+K62/G62</f>
        <v>#DIV/0!</v>
      </c>
      <c r="K62" s="49"/>
      <c r="L62" s="76">
        <f t="shared" ref="L62:L68" si="35">+K62/E$17</f>
        <v>0</v>
      </c>
      <c r="M62" s="81" t="e">
        <f t="shared" ref="M62:M68" si="36">+H62*J62</f>
        <v>#DIV/0!</v>
      </c>
      <c r="N62" s="76" t="e">
        <f t="shared" ref="N62:N75" si="37">+M62/E$17</f>
        <v>#DIV/0!</v>
      </c>
      <c r="O62" s="80" t="e">
        <f t="shared" ref="O62:O68" si="38">+K62-M62</f>
        <v>#DIV/0!</v>
      </c>
    </row>
    <row r="63" spans="4:18" hidden="1">
      <c r="D63" s="1" t="s">
        <v>73</v>
      </c>
      <c r="E63" s="114"/>
      <c r="F63" s="73"/>
      <c r="G63" s="73">
        <f t="shared" si="33"/>
        <v>0</v>
      </c>
      <c r="H63" s="79">
        <f>'[3]Schedule Planner - New'!R42</f>
        <v>171.87518701457768</v>
      </c>
      <c r="I63" s="74">
        <f t="shared" si="32"/>
        <v>-171.87518701457768</v>
      </c>
      <c r="J63" s="75" t="e">
        <f t="shared" si="34"/>
        <v>#DIV/0!</v>
      </c>
      <c r="K63" s="49"/>
      <c r="L63" s="76">
        <f t="shared" si="35"/>
        <v>0</v>
      </c>
      <c r="M63" s="81" t="e">
        <f t="shared" si="36"/>
        <v>#DIV/0!</v>
      </c>
      <c r="N63" s="76" t="e">
        <f t="shared" si="37"/>
        <v>#DIV/0!</v>
      </c>
      <c r="O63" s="80" t="e">
        <f t="shared" si="38"/>
        <v>#DIV/0!</v>
      </c>
    </row>
    <row r="64" spans="4:18" hidden="1">
      <c r="D64" s="1" t="s">
        <v>8</v>
      </c>
      <c r="E64" s="114"/>
      <c r="F64" s="73"/>
      <c r="G64" s="73">
        <f t="shared" si="33"/>
        <v>0</v>
      </c>
      <c r="H64" s="79">
        <f>'[3]Schedule Planner - New'!R43</f>
        <v>73.917426115363867</v>
      </c>
      <c r="I64" s="74">
        <f t="shared" si="32"/>
        <v>-73.917426115363867</v>
      </c>
      <c r="J64" s="75" t="e">
        <f t="shared" si="34"/>
        <v>#DIV/0!</v>
      </c>
      <c r="K64" s="49"/>
      <c r="L64" s="76">
        <f t="shared" si="35"/>
        <v>0</v>
      </c>
      <c r="M64" s="81" t="e">
        <f t="shared" si="36"/>
        <v>#DIV/0!</v>
      </c>
      <c r="N64" s="76" t="e">
        <f t="shared" si="37"/>
        <v>#DIV/0!</v>
      </c>
      <c r="O64" s="80" t="e">
        <f t="shared" si="38"/>
        <v>#DIV/0!</v>
      </c>
    </row>
    <row r="65" spans="4:15" hidden="1">
      <c r="D65" s="1" t="s">
        <v>74</v>
      </c>
      <c r="E65" s="114"/>
      <c r="F65" s="73"/>
      <c r="G65" s="73">
        <f t="shared" si="33"/>
        <v>0</v>
      </c>
      <c r="H65" s="79">
        <f>'[3]Schedule Planner - New'!R44</f>
        <v>81.718958553283159</v>
      </c>
      <c r="I65" s="74">
        <f t="shared" si="32"/>
        <v>-81.718958553283159</v>
      </c>
      <c r="J65" s="75" t="e">
        <f t="shared" si="34"/>
        <v>#DIV/0!</v>
      </c>
      <c r="K65" s="49"/>
      <c r="L65" s="76">
        <f t="shared" si="35"/>
        <v>0</v>
      </c>
      <c r="M65" s="81" t="e">
        <f t="shared" si="36"/>
        <v>#DIV/0!</v>
      </c>
      <c r="N65" s="76" t="e">
        <f t="shared" si="37"/>
        <v>#DIV/0!</v>
      </c>
      <c r="O65" s="80" t="e">
        <f t="shared" si="38"/>
        <v>#DIV/0!</v>
      </c>
    </row>
    <row r="66" spans="4:15" hidden="1">
      <c r="D66" s="1" t="s">
        <v>9</v>
      </c>
      <c r="E66" s="114"/>
      <c r="F66" s="73"/>
      <c r="G66" s="73">
        <f t="shared" si="33"/>
        <v>0</v>
      </c>
      <c r="H66" s="79">
        <f>'[3]Schedule Planner - New'!R45</f>
        <v>88.081977362304968</v>
      </c>
      <c r="I66" s="74">
        <f t="shared" si="32"/>
        <v>-88.081977362304968</v>
      </c>
      <c r="J66" s="75" t="e">
        <f t="shared" si="34"/>
        <v>#DIV/0!</v>
      </c>
      <c r="K66" s="49"/>
      <c r="L66" s="76">
        <f t="shared" si="35"/>
        <v>0</v>
      </c>
      <c r="M66" s="81" t="e">
        <f t="shared" si="36"/>
        <v>#DIV/0!</v>
      </c>
      <c r="N66" s="76" t="e">
        <f t="shared" si="37"/>
        <v>#DIV/0!</v>
      </c>
      <c r="O66" s="80" t="e">
        <f t="shared" si="38"/>
        <v>#DIV/0!</v>
      </c>
    </row>
    <row r="67" spans="4:15" hidden="1">
      <c r="D67" s="1" t="s">
        <v>10</v>
      </c>
      <c r="E67" s="114"/>
      <c r="F67" s="73"/>
      <c r="G67" s="73">
        <f t="shared" si="33"/>
        <v>0</v>
      </c>
      <c r="H67" s="79">
        <f>'[3]Schedule Planner - New'!R46</f>
        <v>70.783443543790739</v>
      </c>
      <c r="I67" s="74">
        <f t="shared" si="32"/>
        <v>-70.783443543790739</v>
      </c>
      <c r="J67" s="75" t="e">
        <f t="shared" si="34"/>
        <v>#DIV/0!</v>
      </c>
      <c r="K67" s="49"/>
      <c r="L67" s="76">
        <f t="shared" si="35"/>
        <v>0</v>
      </c>
      <c r="M67" s="81" t="e">
        <f t="shared" si="36"/>
        <v>#DIV/0!</v>
      </c>
      <c r="N67" s="76" t="e">
        <f t="shared" si="37"/>
        <v>#DIV/0!</v>
      </c>
      <c r="O67" s="80" t="e">
        <f t="shared" si="38"/>
        <v>#DIV/0!</v>
      </c>
    </row>
    <row r="68" spans="4:15" hidden="1">
      <c r="D68" s="1" t="s">
        <v>75</v>
      </c>
      <c r="E68" s="114"/>
      <c r="F68" s="73"/>
      <c r="G68" s="73">
        <f t="shared" si="33"/>
        <v>0</v>
      </c>
      <c r="H68" s="79">
        <f>'[3]Schedule Planner - New'!R47</f>
        <v>32.085123766349717</v>
      </c>
      <c r="I68" s="74">
        <f t="shared" si="32"/>
        <v>-32.085123766349717</v>
      </c>
      <c r="J68" s="75" t="e">
        <f t="shared" si="34"/>
        <v>#DIV/0!</v>
      </c>
      <c r="K68" s="49"/>
      <c r="L68" s="76">
        <f t="shared" si="35"/>
        <v>0</v>
      </c>
      <c r="M68" s="81" t="e">
        <f t="shared" si="36"/>
        <v>#DIV/0!</v>
      </c>
      <c r="N68" s="76" t="e">
        <f t="shared" si="37"/>
        <v>#DIV/0!</v>
      </c>
      <c r="O68" s="80" t="e">
        <f t="shared" si="38"/>
        <v>#DIV/0!</v>
      </c>
    </row>
    <row r="69" spans="4:15" ht="16.5" hidden="1" customHeight="1">
      <c r="D69" s="1" t="s">
        <v>76</v>
      </c>
      <c r="E69" s="114"/>
      <c r="F69" s="73"/>
      <c r="G69" s="73"/>
      <c r="H69" s="79"/>
      <c r="I69" s="74"/>
      <c r="J69" s="75"/>
      <c r="K69" s="49"/>
      <c r="L69" s="76"/>
      <c r="M69" s="81"/>
      <c r="N69" s="76"/>
      <c r="O69" s="80"/>
    </row>
    <row r="70" spans="4:15" hidden="1">
      <c r="D70" s="1"/>
      <c r="E70" s="114"/>
      <c r="F70" s="73"/>
      <c r="G70" s="73"/>
      <c r="H70" s="79"/>
      <c r="I70" s="74"/>
      <c r="J70" s="75"/>
      <c r="K70" s="49"/>
      <c r="L70" s="76"/>
      <c r="M70" s="81"/>
      <c r="N70" s="76"/>
      <c r="O70" s="80"/>
    </row>
    <row r="71" spans="4:15" hidden="1">
      <c r="D71" s="1"/>
      <c r="E71" s="115"/>
      <c r="F71" s="82"/>
      <c r="G71" s="73"/>
      <c r="H71" s="79"/>
      <c r="I71" s="74"/>
      <c r="J71" s="75"/>
      <c r="K71" s="83"/>
      <c r="L71" s="76"/>
      <c r="M71" s="81"/>
      <c r="N71" s="76"/>
      <c r="O71" s="80"/>
    </row>
    <row r="72" spans="4:15" hidden="1">
      <c r="D72" s="1" t="s">
        <v>0</v>
      </c>
      <c r="E72" s="84">
        <f>SUM(E58:E71)</f>
        <v>335.01</v>
      </c>
      <c r="F72" s="85">
        <f t="shared" ref="F72:O72" si="39">SUM(F58:F71)</f>
        <v>0</v>
      </c>
      <c r="G72" s="85">
        <f t="shared" si="39"/>
        <v>335.01</v>
      </c>
      <c r="H72" s="85">
        <f t="shared" si="39"/>
        <v>1592.0128963220063</v>
      </c>
      <c r="I72" s="85">
        <f t="shared" si="39"/>
        <v>-1292.0128963220063</v>
      </c>
      <c r="J72" s="86">
        <f t="shared" si="34"/>
        <v>16.158263932419928</v>
      </c>
      <c r="K72" s="85">
        <f t="shared" si="39"/>
        <v>5413.18</v>
      </c>
      <c r="L72" s="87">
        <f>K72/$E$17</f>
        <v>3.8751411340606778E-2</v>
      </c>
      <c r="M72" s="85" t="e">
        <f t="shared" si="39"/>
        <v>#DIV/0!</v>
      </c>
      <c r="N72" s="87" t="e">
        <f t="shared" si="37"/>
        <v>#DIV/0!</v>
      </c>
      <c r="O72" s="88" t="e">
        <f t="shared" si="39"/>
        <v>#DIV/0!</v>
      </c>
    </row>
    <row r="73" spans="4:15" hidden="1">
      <c r="D73" s="1" t="s">
        <v>77</v>
      </c>
      <c r="E73" s="89">
        <f>+E58+E62+E64+E66+E67+E68+E69+E70</f>
        <v>190</v>
      </c>
      <c r="F73" s="90">
        <f>+F58+F62+F64+F66+F67+F68+F69+F70</f>
        <v>0</v>
      </c>
      <c r="G73" s="90">
        <f>+G58+G62+G64+G66+G67+G68+G69+G70</f>
        <v>190</v>
      </c>
      <c r="H73" s="90">
        <f>+H58+H62+H64+H66+H67+H68+H69+H70</f>
        <v>877.72434950607692</v>
      </c>
      <c r="I73" s="90">
        <f>+I58+I62+I64+I66+I67+I68+I69+I70</f>
        <v>-687.72434950607681</v>
      </c>
      <c r="J73" s="91">
        <f t="shared" si="34"/>
        <v>13.936842105263159</v>
      </c>
      <c r="K73" s="90">
        <f>+K58+K62+K64+K66+K67+K68+K69+K70</f>
        <v>2648</v>
      </c>
      <c r="L73" s="76">
        <f>K73/$E$17</f>
        <v>1.8956276574938712E-2</v>
      </c>
      <c r="M73" s="90" t="e">
        <f>+M58+M62+M64+M66+M67+M68+M69+M70</f>
        <v>#DIV/0!</v>
      </c>
      <c r="N73" s="76" t="e">
        <f t="shared" si="37"/>
        <v>#DIV/0!</v>
      </c>
      <c r="O73" s="92" t="e">
        <f>+O58+O62+O64+O66+O67+O68+O69+O70</f>
        <v>#DIV/0!</v>
      </c>
    </row>
    <row r="74" spans="4:15" hidden="1">
      <c r="D74" s="1" t="s">
        <v>78</v>
      </c>
      <c r="E74" s="89">
        <f>+E60+E61+E63+E65</f>
        <v>110</v>
      </c>
      <c r="F74" s="90">
        <f>+F60+F61+F63+F65</f>
        <v>0</v>
      </c>
      <c r="G74" s="90">
        <f>+G60+G61+G63+G65</f>
        <v>110</v>
      </c>
      <c r="H74" s="90">
        <f>+H60+H61+H63+H65</f>
        <v>714.28854681592952</v>
      </c>
      <c r="I74" s="90">
        <f>+I60+I61+I63+I65</f>
        <v>-604.28854681592952</v>
      </c>
      <c r="J74" s="91">
        <f t="shared" si="34"/>
        <v>19.40909090909091</v>
      </c>
      <c r="K74" s="90">
        <f>+K60+K61+K63+K65</f>
        <v>2135</v>
      </c>
      <c r="L74" s="76">
        <f>K74/$E$17</f>
        <v>1.5283855924280269E-2</v>
      </c>
      <c r="M74" s="90" t="e">
        <f>+M60+M61+M63+M65</f>
        <v>#DIV/0!</v>
      </c>
      <c r="N74" s="76" t="e">
        <f t="shared" si="37"/>
        <v>#DIV/0!</v>
      </c>
      <c r="O74" s="92" t="e">
        <f>+O60+O61+O63+O65</f>
        <v>#DIV/0!</v>
      </c>
    </row>
    <row r="75" spans="4:15" ht="13.5" hidden="1" thickBot="1">
      <c r="D75" s="1" t="s">
        <v>79</v>
      </c>
      <c r="E75" s="93">
        <f>+E65+E63</f>
        <v>0</v>
      </c>
      <c r="F75" s="94">
        <f>+F65+F63</f>
        <v>0</v>
      </c>
      <c r="G75" s="94">
        <f>+G65+G63</f>
        <v>0</v>
      </c>
      <c r="H75" s="94">
        <f>+H65+H63</f>
        <v>253.59414556786083</v>
      </c>
      <c r="I75" s="94">
        <f>+I65+I63</f>
        <v>-253.59414556786083</v>
      </c>
      <c r="J75" s="95" t="e">
        <f t="shared" si="34"/>
        <v>#DIV/0!</v>
      </c>
      <c r="K75" s="94">
        <f>+K65+K63</f>
        <v>0</v>
      </c>
      <c r="L75" s="96">
        <f>K75/$E$17</f>
        <v>0</v>
      </c>
      <c r="M75" s="94" t="e">
        <f>+M65+M63</f>
        <v>#DIV/0!</v>
      </c>
      <c r="N75" s="96" t="e">
        <f t="shared" si="37"/>
        <v>#DIV/0!</v>
      </c>
      <c r="O75" s="97" t="e">
        <f>+O65+O63</f>
        <v>#DIV/0!</v>
      </c>
    </row>
    <row r="76" spans="4:15" hidden="1"/>
    <row r="77" spans="4:15" hidden="1">
      <c r="L77" s="38" t="s">
        <v>19</v>
      </c>
    </row>
    <row r="78" spans="4:15" hidden="1"/>
    <row r="79" spans="4:15" hidden="1"/>
    <row r="80" spans="4:15" hidden="1"/>
    <row r="81" hidden="1"/>
    <row r="82" hidden="1"/>
    <row r="83" hidden="1"/>
    <row r="84" hidden="1"/>
    <row r="126" ht="3.75" customHeight="1"/>
    <row r="134" ht="5.25" customHeight="1"/>
    <row r="142" ht="3.75" customHeight="1"/>
    <row r="143" ht="15" customHeight="1"/>
    <row r="150" ht="3.75" customHeight="1"/>
  </sheetData>
  <mergeCells count="13">
    <mergeCell ref="G1:H1"/>
    <mergeCell ref="E2:O2"/>
    <mergeCell ref="F4:G4"/>
    <mergeCell ref="F5:G5"/>
    <mergeCell ref="F28:H28"/>
    <mergeCell ref="I28:N28"/>
    <mergeCell ref="O28:P28"/>
    <mergeCell ref="B9:C9"/>
    <mergeCell ref="E9:G9"/>
    <mergeCell ref="H9:M9"/>
    <mergeCell ref="N9:Q9"/>
    <mergeCell ref="E56:I56"/>
    <mergeCell ref="J56:O56"/>
  </mergeCells>
  <phoneticPr fontId="0" type="noConversion"/>
  <pageMargins left="0.14000000000000001" right="0.14000000000000001" top="0.15" bottom="0.18" header="0.15" footer="0.15"/>
  <pageSetup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78"/>
  <sheetViews>
    <sheetView topLeftCell="A28" workbookViewId="0">
      <selection activeCell="I44" sqref="I44"/>
    </sheetView>
  </sheetViews>
  <sheetFormatPr defaultRowHeight="15"/>
  <cols>
    <col min="1" max="1" width="16.28515625" style="229" customWidth="1"/>
    <col min="2" max="2" width="6.28515625" style="356" customWidth="1"/>
    <col min="3" max="3" width="11" style="283" customWidth="1"/>
    <col min="4" max="4" width="10.140625" style="283" bestFit="1" customWidth="1"/>
    <col min="5" max="5" width="10.7109375" style="283" customWidth="1"/>
    <col min="6" max="6" width="10.140625" style="283" bestFit="1" customWidth="1"/>
    <col min="7" max="7" width="12" style="283" bestFit="1" customWidth="1"/>
    <col min="8" max="8" width="11" style="283" customWidth="1"/>
  </cols>
  <sheetData>
    <row r="1" spans="1:17">
      <c r="C1" s="948" t="s">
        <v>173</v>
      </c>
      <c r="D1" s="949"/>
      <c r="E1" s="950"/>
      <c r="F1" s="948" t="s">
        <v>195</v>
      </c>
      <c r="G1" s="949"/>
      <c r="H1" s="950"/>
      <c r="I1" s="951" t="s">
        <v>196</v>
      </c>
      <c r="J1" s="952"/>
      <c r="K1" s="953"/>
      <c r="L1" s="951" t="s">
        <v>197</v>
      </c>
      <c r="M1" s="952"/>
      <c r="N1" s="953"/>
      <c r="O1" s="954" t="s">
        <v>198</v>
      </c>
      <c r="P1" s="952"/>
      <c r="Q1" s="953"/>
    </row>
    <row r="2" spans="1:17" ht="30">
      <c r="C2" s="285" t="s">
        <v>174</v>
      </c>
      <c r="D2" s="308" t="s">
        <v>49</v>
      </c>
      <c r="E2" s="286" t="s">
        <v>51</v>
      </c>
      <c r="F2" s="285" t="s">
        <v>174</v>
      </c>
      <c r="G2" s="308" t="s">
        <v>49</v>
      </c>
      <c r="H2" s="286" t="s">
        <v>51</v>
      </c>
      <c r="I2" s="294" t="s">
        <v>174</v>
      </c>
      <c r="J2" s="317" t="s">
        <v>49</v>
      </c>
      <c r="K2" s="295" t="s">
        <v>51</v>
      </c>
      <c r="L2" s="294" t="s">
        <v>174</v>
      </c>
      <c r="M2" s="317" t="s">
        <v>49</v>
      </c>
      <c r="N2" s="295" t="s">
        <v>51</v>
      </c>
      <c r="O2" s="293" t="s">
        <v>174</v>
      </c>
      <c r="P2" s="284" t="s">
        <v>49</v>
      </c>
      <c r="Q2" s="295" t="s">
        <v>51</v>
      </c>
    </row>
    <row r="3" spans="1:17">
      <c r="B3" s="357" t="s">
        <v>29</v>
      </c>
      <c r="C3" s="287">
        <f>+'W1 Cost &amp; Sales'!N11</f>
        <v>48138.46</v>
      </c>
      <c r="D3" s="309">
        <f>+'W1 Cost &amp; Sales'!E11</f>
        <v>50781.78</v>
      </c>
      <c r="E3" s="288">
        <f>+D3-C3</f>
        <v>2643.3199999999997</v>
      </c>
      <c r="F3" s="287">
        <f>+'W2 Cost &amp; Sales'!N11</f>
        <v>46184.26</v>
      </c>
      <c r="G3" s="309">
        <f>+'W2 Cost &amp; Sales'!E11</f>
        <v>44769.16</v>
      </c>
      <c r="H3" s="288">
        <f t="shared" ref="H3:H8" si="0">+G3-F3</f>
        <v>-1415.0999999999985</v>
      </c>
      <c r="I3" s="287">
        <f>+'W3 Cost &amp; Sales '!N11</f>
        <v>64879.439999999995</v>
      </c>
      <c r="J3" s="309">
        <f>+'W3 Cost &amp; Sales '!E11</f>
        <v>0</v>
      </c>
      <c r="K3" s="288">
        <f t="shared" ref="K3:K8" si="1">+J3-I3</f>
        <v>-64879.439999999995</v>
      </c>
      <c r="L3" s="287">
        <f>+'W4 Cost &amp; Sales'!N11</f>
        <v>48268.74</v>
      </c>
      <c r="M3" s="309">
        <f>+'W4 Cost &amp; Sales'!E11</f>
        <v>0</v>
      </c>
      <c r="N3" s="288">
        <f t="shared" ref="N3:N8" si="2">+M3-L3</f>
        <v>-48268.74</v>
      </c>
      <c r="O3" s="296"/>
      <c r="P3" s="227"/>
      <c r="Q3" s="232"/>
    </row>
    <row r="4" spans="1:17">
      <c r="B4" s="357" t="s">
        <v>24</v>
      </c>
      <c r="C4" s="287">
        <f>+'W1 Cost &amp; Sales'!N12</f>
        <v>7633.87</v>
      </c>
      <c r="D4" s="309">
        <f>+'W1 Cost &amp; Sales'!E12</f>
        <v>11482.5</v>
      </c>
      <c r="E4" s="288">
        <f t="shared" ref="E4:E58" si="3">+D4-C4</f>
        <v>3848.63</v>
      </c>
      <c r="F4" s="287">
        <f>+'W2 Cost &amp; Sales'!N12</f>
        <v>7323.97</v>
      </c>
      <c r="G4" s="309">
        <f>+'W2 Cost &amp; Sales'!E12</f>
        <v>10087.700000000001</v>
      </c>
      <c r="H4" s="288">
        <f t="shared" si="0"/>
        <v>2763.7300000000005</v>
      </c>
      <c r="I4" s="287">
        <f>+'W3 Cost &amp; Sales '!N12</f>
        <v>10288.68</v>
      </c>
      <c r="J4" s="309">
        <f>+'W3 Cost &amp; Sales '!E12</f>
        <v>0</v>
      </c>
      <c r="K4" s="288">
        <f t="shared" si="1"/>
        <v>-10288.68</v>
      </c>
      <c r="L4" s="287">
        <f>+'W4 Cost &amp; Sales'!N12</f>
        <v>7654.5300000000007</v>
      </c>
      <c r="M4" s="309">
        <f>+'W4 Cost &amp; Sales'!E12</f>
        <v>0</v>
      </c>
      <c r="N4" s="288">
        <f t="shared" si="2"/>
        <v>-7654.5300000000007</v>
      </c>
      <c r="O4" s="296"/>
      <c r="P4" s="227"/>
      <c r="Q4" s="232"/>
    </row>
    <row r="5" spans="1:17">
      <c r="B5" s="357" t="s">
        <v>25</v>
      </c>
      <c r="C5" s="287">
        <f>+'W1 Cost &amp; Sales'!N13</f>
        <v>3584.15</v>
      </c>
      <c r="D5" s="309">
        <f>+'W1 Cost &amp; Sales'!E13</f>
        <v>2213.2600000000002</v>
      </c>
      <c r="E5" s="288">
        <f t="shared" si="3"/>
        <v>-1370.8899999999999</v>
      </c>
      <c r="F5" s="287">
        <f>+'W2 Cost &amp; Sales'!N13</f>
        <v>3438.65</v>
      </c>
      <c r="G5" s="309">
        <f>+'W2 Cost &amp; Sales'!E13</f>
        <v>1645.01</v>
      </c>
      <c r="H5" s="288">
        <f t="shared" si="0"/>
        <v>-1793.64</v>
      </c>
      <c r="I5" s="287">
        <f>+'W3 Cost &amp; Sales '!N13</f>
        <v>4830.6000000000004</v>
      </c>
      <c r="J5" s="309">
        <f>+'W3 Cost &amp; Sales '!E13</f>
        <v>0</v>
      </c>
      <c r="K5" s="288">
        <f t="shared" si="1"/>
        <v>-4830.6000000000004</v>
      </c>
      <c r="L5" s="287">
        <f>+'W4 Cost &amp; Sales'!N13</f>
        <v>3593.85</v>
      </c>
      <c r="M5" s="309">
        <f>+'W4 Cost &amp; Sales'!E13</f>
        <v>0</v>
      </c>
      <c r="N5" s="288">
        <f t="shared" si="2"/>
        <v>-3593.85</v>
      </c>
      <c r="O5" s="296"/>
      <c r="P5" s="227"/>
      <c r="Q5" s="232"/>
    </row>
    <row r="6" spans="1:17">
      <c r="B6" s="357" t="s">
        <v>26</v>
      </c>
      <c r="C6" s="287">
        <f>+'W1 Cost &amp; Sales'!N14</f>
        <v>12444.76</v>
      </c>
      <c r="D6" s="309">
        <f>+'W1 Cost &amp; Sales'!E14</f>
        <v>10684.52</v>
      </c>
      <c r="E6" s="288">
        <f t="shared" si="3"/>
        <v>-1760.2399999999998</v>
      </c>
      <c r="F6" s="287">
        <f>+'W2 Cost &amp; Sales'!N14</f>
        <v>11939.56</v>
      </c>
      <c r="G6" s="309">
        <f>+'W2 Cost &amp; Sales'!E14</f>
        <v>5957</v>
      </c>
      <c r="H6" s="288">
        <f t="shared" si="0"/>
        <v>-5982.5599999999995</v>
      </c>
      <c r="I6" s="287">
        <f>+'W3 Cost &amp; Sales '!N14</f>
        <v>16772.64</v>
      </c>
      <c r="J6" s="309">
        <f>+'W3 Cost &amp; Sales '!E14</f>
        <v>0</v>
      </c>
      <c r="K6" s="288">
        <f t="shared" si="1"/>
        <v>-16772.64</v>
      </c>
      <c r="L6" s="287">
        <f>+'W4 Cost &amp; Sales'!N14</f>
        <v>12478.439999999999</v>
      </c>
      <c r="M6" s="309">
        <f>+'W4 Cost &amp; Sales'!E14</f>
        <v>0</v>
      </c>
      <c r="N6" s="288">
        <f t="shared" si="2"/>
        <v>-12478.439999999999</v>
      </c>
      <c r="O6" s="296"/>
      <c r="P6" s="227"/>
      <c r="Q6" s="232"/>
    </row>
    <row r="7" spans="1:17">
      <c r="B7" s="357" t="s">
        <v>85</v>
      </c>
      <c r="C7" s="287">
        <f>+'W1 Cost &amp; Sales'!N15</f>
        <v>2098.7600000000002</v>
      </c>
      <c r="D7" s="309">
        <f>+'W1 Cost &amp; Sales'!E15</f>
        <v>1076.6500000000001</v>
      </c>
      <c r="E7" s="288">
        <f t="shared" si="3"/>
        <v>-1022.1100000000001</v>
      </c>
      <c r="F7" s="287">
        <f>+'W2 Cost &amp; Sales'!N15</f>
        <v>2013.5600000000002</v>
      </c>
      <c r="G7" s="309">
        <f>+'W2 Cost &amp; Sales'!E15</f>
        <v>842.3</v>
      </c>
      <c r="H7" s="288">
        <f t="shared" si="0"/>
        <v>-1171.2600000000002</v>
      </c>
      <c r="I7" s="287">
        <f>+'W3 Cost &amp; Sales '!N15</f>
        <v>2828.6400000000003</v>
      </c>
      <c r="J7" s="309">
        <f>+'W3 Cost &amp; Sales '!E15</f>
        <v>0</v>
      </c>
      <c r="K7" s="288">
        <f t="shared" si="1"/>
        <v>-2828.6400000000003</v>
      </c>
      <c r="L7" s="287">
        <f>+'W4 Cost &amp; Sales'!N15</f>
        <v>2104.44</v>
      </c>
      <c r="M7" s="309">
        <f>+'W4 Cost &amp; Sales'!E15</f>
        <v>0</v>
      </c>
      <c r="N7" s="288">
        <f t="shared" si="2"/>
        <v>-2104.44</v>
      </c>
      <c r="O7" s="296"/>
      <c r="P7" s="227"/>
      <c r="Q7" s="232"/>
    </row>
    <row r="8" spans="1:17" ht="15.75" thickBot="1">
      <c r="B8" s="357" t="s">
        <v>0</v>
      </c>
      <c r="C8" s="297">
        <f>SUM(C3:C7)</f>
        <v>73900</v>
      </c>
      <c r="D8" s="310">
        <f>SUM(D3:D7)</f>
        <v>76238.709999999992</v>
      </c>
      <c r="E8" s="298">
        <f t="shared" si="3"/>
        <v>2338.7099999999919</v>
      </c>
      <c r="F8" s="297">
        <f>SUM(F3:F7)</f>
        <v>70900</v>
      </c>
      <c r="G8" s="310">
        <f>SUM(G3:G7)</f>
        <v>63301.170000000006</v>
      </c>
      <c r="H8" s="298">
        <f t="shared" si="0"/>
        <v>-7598.8299999999945</v>
      </c>
      <c r="I8" s="297">
        <f>SUM(I3:I7)</f>
        <v>99600</v>
      </c>
      <c r="J8" s="310">
        <f>SUM(J3:J7)</f>
        <v>0</v>
      </c>
      <c r="K8" s="298">
        <f t="shared" si="1"/>
        <v>-99600</v>
      </c>
      <c r="L8" s="297">
        <f>SUM(L3:L7)</f>
        <v>74100</v>
      </c>
      <c r="M8" s="310">
        <f>SUM(M3:M7)</f>
        <v>0</v>
      </c>
      <c r="N8" s="298">
        <f t="shared" si="2"/>
        <v>-74100</v>
      </c>
      <c r="O8" s="299"/>
      <c r="P8" s="228"/>
      <c r="Q8" s="233"/>
    </row>
    <row r="9" spans="1:17" ht="15.75" thickBot="1">
      <c r="B9" s="357"/>
      <c r="C9" s="289"/>
      <c r="D9" s="311"/>
      <c r="E9" s="290"/>
      <c r="F9" s="289"/>
      <c r="G9" s="311"/>
      <c r="H9" s="290"/>
      <c r="I9" s="289"/>
      <c r="J9" s="311"/>
      <c r="K9" s="290"/>
      <c r="L9" s="289"/>
      <c r="M9" s="311"/>
      <c r="N9" s="290"/>
      <c r="O9" s="234"/>
      <c r="P9" s="234"/>
      <c r="Q9" s="36"/>
    </row>
    <row r="10" spans="1:17">
      <c r="B10" s="358" t="s">
        <v>175</v>
      </c>
      <c r="C10" s="300">
        <f>+'W1 Cost &amp; Sales'!M3</f>
        <v>1235.8771020000001</v>
      </c>
      <c r="D10" s="312">
        <f>+'W1 Cost &amp; Sales'!O3</f>
        <v>849</v>
      </c>
      <c r="E10" s="301">
        <f t="shared" si="3"/>
        <v>-386.87710200000015</v>
      </c>
      <c r="F10" s="300">
        <f>+'W2 Cost &amp; Sales'!M3</f>
        <v>1027.0989540000003</v>
      </c>
      <c r="G10" s="312">
        <f>+'W2 Cost &amp; Sales'!O3</f>
        <v>749.75</v>
      </c>
      <c r="H10" s="301">
        <f>+G10-F10</f>
        <v>-277.34895400000028</v>
      </c>
      <c r="I10" s="300">
        <f>+'W3 Cost &amp; Sales '!M3</f>
        <v>0</v>
      </c>
      <c r="J10" s="312">
        <f>+'W3 Cost &amp; Sales '!O3</f>
        <v>0</v>
      </c>
      <c r="K10" s="301">
        <f>+J10-I10</f>
        <v>0</v>
      </c>
      <c r="L10" s="300">
        <f>+'W4 Cost &amp; Sales'!M3</f>
        <v>0</v>
      </c>
      <c r="M10" s="312">
        <f>+'W4 Cost &amp; Sales'!O3</f>
        <v>0</v>
      </c>
      <c r="N10" s="301">
        <f>+M10-L10</f>
        <v>0</v>
      </c>
      <c r="O10" s="234"/>
      <c r="P10" s="234"/>
      <c r="Q10" s="36"/>
    </row>
    <row r="11" spans="1:17">
      <c r="B11" s="358" t="s">
        <v>176</v>
      </c>
      <c r="C11" s="287">
        <f>+'W1 Cost &amp; Sales'!M4</f>
        <v>1975.8775889999997</v>
      </c>
      <c r="D11" s="309">
        <f>+'W1 Cost &amp; Sales'!O4</f>
        <v>1899.8429999999998</v>
      </c>
      <c r="E11" s="288">
        <f t="shared" si="3"/>
        <v>-76.034588999999869</v>
      </c>
      <c r="F11" s="287">
        <f>+'W2 Cost &amp; Sales'!M4</f>
        <v>1642.0903030000002</v>
      </c>
      <c r="G11" s="309">
        <f>+'W2 Cost &amp; Sales'!O4</f>
        <v>2683.94</v>
      </c>
      <c r="H11" s="288">
        <f>+G11-F11</f>
        <v>1041.8496969999999</v>
      </c>
      <c r="I11" s="287">
        <f>+'W3 Cost &amp; Sales '!M4</f>
        <v>0</v>
      </c>
      <c r="J11" s="309">
        <f>+'W3 Cost &amp; Sales '!O4</f>
        <v>0</v>
      </c>
      <c r="K11" s="288">
        <f>+J11-I11</f>
        <v>0</v>
      </c>
      <c r="L11" s="287">
        <f>+'W4 Cost &amp; Sales'!M4</f>
        <v>0</v>
      </c>
      <c r="M11" s="309">
        <f>+'W4 Cost &amp; Sales'!O4</f>
        <v>0</v>
      </c>
      <c r="N11" s="288">
        <f>+M11-L11</f>
        <v>0</v>
      </c>
      <c r="O11" s="234"/>
      <c r="P11" s="234"/>
      <c r="Q11" s="36"/>
    </row>
    <row r="12" spans="1:17">
      <c r="B12" s="358" t="s">
        <v>191</v>
      </c>
      <c r="C12" s="287">
        <f>+C11+C10</f>
        <v>3211.7546910000001</v>
      </c>
      <c r="D12" s="309">
        <f>+D11+D10</f>
        <v>2748.8429999999998</v>
      </c>
      <c r="E12" s="288">
        <f t="shared" si="3"/>
        <v>-462.91169100000025</v>
      </c>
      <c r="F12" s="287">
        <f>+F11+F10</f>
        <v>2669.1892570000005</v>
      </c>
      <c r="G12" s="309">
        <f>+G11+G10</f>
        <v>3433.69</v>
      </c>
      <c r="H12" s="288">
        <f>+G12-F12</f>
        <v>764.5007429999996</v>
      </c>
      <c r="I12" s="287">
        <f>+I11+I10</f>
        <v>0</v>
      </c>
      <c r="J12" s="309">
        <f>+J11+J10</f>
        <v>0</v>
      </c>
      <c r="K12" s="288">
        <f>+J12-I12</f>
        <v>0</v>
      </c>
      <c r="L12" s="287">
        <f>+L11+L10</f>
        <v>0</v>
      </c>
      <c r="M12" s="309">
        <f>+M11+M10</f>
        <v>0</v>
      </c>
      <c r="N12" s="288">
        <f>+M12-L12</f>
        <v>0</v>
      </c>
      <c r="O12" s="234"/>
      <c r="P12" s="234"/>
      <c r="Q12" s="36"/>
    </row>
    <row r="13" spans="1:17" ht="15.75" thickBot="1">
      <c r="B13" s="358" t="s">
        <v>192</v>
      </c>
      <c r="C13" s="297">
        <f>+C8-C12</f>
        <v>70688.245309000005</v>
      </c>
      <c r="D13" s="310">
        <f>+D8-D12</f>
        <v>73489.866999999998</v>
      </c>
      <c r="E13" s="298">
        <f t="shared" si="3"/>
        <v>2801.621690999993</v>
      </c>
      <c r="F13" s="297">
        <f>+F8-F12</f>
        <v>68230.810742999995</v>
      </c>
      <c r="G13" s="310">
        <f>+G8-G12</f>
        <v>59867.48</v>
      </c>
      <c r="H13" s="298">
        <f>+G13-F13</f>
        <v>-8363.3307429999913</v>
      </c>
      <c r="I13" s="297">
        <f>+I8-I12</f>
        <v>99600</v>
      </c>
      <c r="J13" s="310">
        <f>+J8-J12</f>
        <v>0</v>
      </c>
      <c r="K13" s="298">
        <f>+J13-I13</f>
        <v>-99600</v>
      </c>
      <c r="L13" s="297">
        <f>+L8-L12</f>
        <v>74100</v>
      </c>
      <c r="M13" s="310">
        <f>+M8-M12</f>
        <v>0</v>
      </c>
      <c r="N13" s="298">
        <f>+M13-L13</f>
        <v>-74100</v>
      </c>
      <c r="O13" s="234"/>
      <c r="P13" s="234"/>
      <c r="Q13" s="36"/>
    </row>
    <row r="14" spans="1:17" ht="15.75" thickBot="1">
      <c r="B14" s="357"/>
      <c r="C14" s="289"/>
      <c r="D14" s="311"/>
      <c r="E14" s="290"/>
      <c r="F14" s="289"/>
      <c r="G14" s="311"/>
      <c r="H14" s="290"/>
      <c r="I14" s="289"/>
      <c r="J14" s="311"/>
      <c r="K14" s="290"/>
      <c r="L14" s="289"/>
      <c r="M14" s="311"/>
      <c r="N14" s="290"/>
      <c r="O14" s="234"/>
      <c r="P14" s="234"/>
      <c r="Q14" s="36"/>
    </row>
    <row r="15" spans="1:17">
      <c r="A15" s="230" t="s">
        <v>29</v>
      </c>
      <c r="B15" s="359">
        <f>+'W1 Forecast'!L20</f>
        <v>0.32</v>
      </c>
      <c r="C15" s="353">
        <f>+D3*$B15</f>
        <v>16250.169599999999</v>
      </c>
      <c r="D15" s="312">
        <f>+'W1 Cost &amp; Sales'!H11</f>
        <v>17152.68</v>
      </c>
      <c r="E15" s="301">
        <f t="shared" si="3"/>
        <v>902.51040000000103</v>
      </c>
      <c r="F15" s="300">
        <f>+G3*$B15</f>
        <v>14326.131200000002</v>
      </c>
      <c r="G15" s="312">
        <f>+'W2 Cost &amp; Sales'!H11</f>
        <v>13816.69</v>
      </c>
      <c r="H15" s="301">
        <f t="shared" ref="H15:H20" si="4">+G15-F15</f>
        <v>-509.44120000000112</v>
      </c>
      <c r="I15" s="300">
        <f>+J3*$B15</f>
        <v>0</v>
      </c>
      <c r="J15" s="312">
        <f>+'W3 Cost &amp; Sales '!H11</f>
        <v>3298.03</v>
      </c>
      <c r="K15" s="301">
        <f t="shared" ref="K15:K20" si="5">+J15-I15</f>
        <v>3298.03</v>
      </c>
      <c r="L15" s="300">
        <f>+M3*$B15</f>
        <v>0</v>
      </c>
      <c r="M15" s="312">
        <f>+'W4 Cost &amp; Sales'!H11</f>
        <v>0</v>
      </c>
      <c r="N15" s="301">
        <f t="shared" ref="N15:N20" si="6">+M15-L15</f>
        <v>0</v>
      </c>
      <c r="O15" s="234"/>
      <c r="P15" s="234"/>
      <c r="Q15" s="36"/>
    </row>
    <row r="16" spans="1:17">
      <c r="A16" s="230" t="s">
        <v>24</v>
      </c>
      <c r="B16" s="360">
        <f>+'W1 Forecast'!L21</f>
        <v>0.17</v>
      </c>
      <c r="C16" s="354">
        <f>+D4*$B16</f>
        <v>1952.0250000000001</v>
      </c>
      <c r="D16" s="309">
        <f>+'W1 Cost &amp; Sales'!H12</f>
        <v>1814.4500000000007</v>
      </c>
      <c r="E16" s="288">
        <f t="shared" si="3"/>
        <v>-137.57499999999936</v>
      </c>
      <c r="F16" s="287">
        <f>+G4*$B16</f>
        <v>1714.9090000000003</v>
      </c>
      <c r="G16" s="309">
        <f>+'W2 Cost &amp; Sales'!H12</f>
        <v>1712.6800000000003</v>
      </c>
      <c r="H16" s="288">
        <f t="shared" si="4"/>
        <v>-2.2290000000000418</v>
      </c>
      <c r="I16" s="287">
        <f>+J4*$B16</f>
        <v>0</v>
      </c>
      <c r="J16" s="309">
        <f>+'W3 Cost &amp; Sales '!H12</f>
        <v>14304.32</v>
      </c>
      <c r="K16" s="288">
        <f t="shared" si="5"/>
        <v>14304.32</v>
      </c>
      <c r="L16" s="287">
        <f>+M4*$B16</f>
        <v>0</v>
      </c>
      <c r="M16" s="309">
        <f>+'W4 Cost &amp; Sales'!H12</f>
        <v>0</v>
      </c>
      <c r="N16" s="288">
        <f t="shared" si="6"/>
        <v>0</v>
      </c>
      <c r="O16" s="234"/>
      <c r="P16" s="234"/>
      <c r="Q16" s="36"/>
    </row>
    <row r="17" spans="1:17">
      <c r="A17" s="230" t="s">
        <v>25</v>
      </c>
      <c r="B17" s="360">
        <f>+'W1 Forecast'!L22</f>
        <v>0.19</v>
      </c>
      <c r="C17" s="354">
        <f>+D5*$B17</f>
        <v>420.51940000000002</v>
      </c>
      <c r="D17" s="309">
        <f>+'W1 Cost &amp; Sales'!H13</f>
        <v>608.84000000000015</v>
      </c>
      <c r="E17" s="288">
        <f t="shared" si="3"/>
        <v>188.32060000000013</v>
      </c>
      <c r="F17" s="287">
        <f>+G5*$B17</f>
        <v>312.55189999999999</v>
      </c>
      <c r="G17" s="309">
        <f>+'W2 Cost &amp; Sales'!H13</f>
        <v>451.2800000000002</v>
      </c>
      <c r="H17" s="288">
        <f t="shared" si="4"/>
        <v>138.72810000000021</v>
      </c>
      <c r="I17" s="287">
        <f>+J5*$B17</f>
        <v>0</v>
      </c>
      <c r="J17" s="309">
        <f>+'W3 Cost &amp; Sales '!H13</f>
        <v>2641.15</v>
      </c>
      <c r="K17" s="288">
        <f t="shared" si="5"/>
        <v>2641.15</v>
      </c>
      <c r="L17" s="287">
        <f>+M5*$B17</f>
        <v>0</v>
      </c>
      <c r="M17" s="309">
        <f>+'W4 Cost &amp; Sales'!H13</f>
        <v>0</v>
      </c>
      <c r="N17" s="288">
        <f t="shared" si="6"/>
        <v>0</v>
      </c>
      <c r="O17" s="234"/>
      <c r="P17" s="234"/>
      <c r="Q17" s="36"/>
    </row>
    <row r="18" spans="1:17">
      <c r="A18" s="230" t="s">
        <v>26</v>
      </c>
      <c r="B18" s="360">
        <f>+'W1 Forecast'!L23</f>
        <v>0.23</v>
      </c>
      <c r="C18" s="354">
        <f>+D6*$B18</f>
        <v>2457.4396000000002</v>
      </c>
      <c r="D18" s="309">
        <f>+'W1 Cost &amp; Sales'!H14</f>
        <v>2739.5499999999975</v>
      </c>
      <c r="E18" s="288">
        <f t="shared" si="3"/>
        <v>282.1103999999973</v>
      </c>
      <c r="F18" s="287">
        <f>+G6*$B18</f>
        <v>1370.1100000000001</v>
      </c>
      <c r="G18" s="309">
        <f>+'W2 Cost &amp; Sales'!H14</f>
        <v>1465.9799999999996</v>
      </c>
      <c r="H18" s="288">
        <f t="shared" si="4"/>
        <v>95.869999999999436</v>
      </c>
      <c r="I18" s="287">
        <f>+J6*$B18</f>
        <v>0</v>
      </c>
      <c r="J18" s="309">
        <f>+'W3 Cost &amp; Sales '!H14</f>
        <v>17174.150000000001</v>
      </c>
      <c r="K18" s="288">
        <f t="shared" si="5"/>
        <v>17174.150000000001</v>
      </c>
      <c r="L18" s="287">
        <f>+M6*$B18</f>
        <v>0</v>
      </c>
      <c r="M18" s="309">
        <f>+'W4 Cost &amp; Sales'!H14</f>
        <v>0</v>
      </c>
      <c r="N18" s="288">
        <f t="shared" si="6"/>
        <v>0</v>
      </c>
      <c r="O18" s="234"/>
      <c r="P18" s="234"/>
      <c r="Q18" s="36"/>
    </row>
    <row r="19" spans="1:17" ht="15.75" thickBot="1">
      <c r="A19" s="230" t="s">
        <v>85</v>
      </c>
      <c r="B19" s="361">
        <f>+'W1 Forecast'!L24</f>
        <v>0.12</v>
      </c>
      <c r="C19" s="354">
        <f>+D7*$B19</f>
        <v>129.19800000000001</v>
      </c>
      <c r="D19" s="309">
        <f>+'W1 Cost &amp; Sales'!H15</f>
        <v>252.13000000000011</v>
      </c>
      <c r="E19" s="288">
        <f t="shared" si="3"/>
        <v>122.9320000000001</v>
      </c>
      <c r="F19" s="287">
        <f>+G7*$B19</f>
        <v>101.07599999999999</v>
      </c>
      <c r="G19" s="309">
        <f>+'W2 Cost &amp; Sales'!H15</f>
        <v>211.54999999999995</v>
      </c>
      <c r="H19" s="288">
        <f t="shared" si="4"/>
        <v>110.47399999999996</v>
      </c>
      <c r="I19" s="287">
        <f>+J7*$B19</f>
        <v>0</v>
      </c>
      <c r="J19" s="309">
        <f>+'W3 Cost &amp; Sales '!H15</f>
        <v>1383.74</v>
      </c>
      <c r="K19" s="288">
        <f t="shared" si="5"/>
        <v>1383.74</v>
      </c>
      <c r="L19" s="287">
        <f>+M7*$B19</f>
        <v>0</v>
      </c>
      <c r="M19" s="309">
        <f>+'W4 Cost &amp; Sales'!H15</f>
        <v>0</v>
      </c>
      <c r="N19" s="288">
        <f t="shared" si="6"/>
        <v>0</v>
      </c>
      <c r="O19" s="234"/>
      <c r="P19" s="234"/>
      <c r="Q19" s="36"/>
    </row>
    <row r="20" spans="1:17" ht="15.75" thickBot="1">
      <c r="A20" s="230" t="s">
        <v>0</v>
      </c>
      <c r="C20" s="297">
        <f>SUM(C15:C19)</f>
        <v>21209.351600000002</v>
      </c>
      <c r="D20" s="310">
        <f>+'W1 Cost &amp; Sales'!H17</f>
        <v>22567.649999999998</v>
      </c>
      <c r="E20" s="298">
        <f t="shared" si="3"/>
        <v>1358.298399999996</v>
      </c>
      <c r="F20" s="355">
        <f>SUM(F15:F19)</f>
        <v>17824.778100000003</v>
      </c>
      <c r="G20" s="310">
        <f>SUM(G15:G19)</f>
        <v>17658.18</v>
      </c>
      <c r="H20" s="298">
        <f t="shared" si="4"/>
        <v>-166.59810000000289</v>
      </c>
      <c r="I20" s="297">
        <f>SUM(I15:I19)</f>
        <v>0</v>
      </c>
      <c r="J20" s="310">
        <f>SUM(J15:J19)</f>
        <v>38801.39</v>
      </c>
      <c r="K20" s="298">
        <f t="shared" si="5"/>
        <v>38801.39</v>
      </c>
      <c r="L20" s="297">
        <f>SUM(L15:L19)</f>
        <v>0</v>
      </c>
      <c r="M20" s="310">
        <f>SUM(M15:M19)</f>
        <v>0</v>
      </c>
      <c r="N20" s="298">
        <f t="shared" si="6"/>
        <v>0</v>
      </c>
      <c r="O20" s="234"/>
      <c r="P20" s="234"/>
      <c r="Q20" s="36"/>
    </row>
    <row r="21" spans="1:17" ht="15.75" thickBot="1">
      <c r="C21" s="289"/>
      <c r="D21" s="311"/>
      <c r="E21" s="290"/>
      <c r="F21" s="289"/>
      <c r="G21" s="311"/>
      <c r="H21" s="290"/>
      <c r="I21" s="289"/>
      <c r="J21" s="311"/>
      <c r="K21" s="290"/>
      <c r="L21" s="289"/>
      <c r="M21" s="311"/>
      <c r="N21" s="290"/>
      <c r="P21" s="234"/>
    </row>
    <row r="22" spans="1:17">
      <c r="A22" s="230" t="s">
        <v>17</v>
      </c>
      <c r="B22" s="359"/>
      <c r="C22" s="353">
        <f>+'W1 Cost &amp; Sales'!F30</f>
        <v>2878.5929132151555</v>
      </c>
      <c r="D22" s="312">
        <f>+'W1 Cost &amp; Sales'!I30</f>
        <v>2788.46</v>
      </c>
      <c r="E22" s="301">
        <f t="shared" si="3"/>
        <v>-90.13291321515544</v>
      </c>
      <c r="F22" s="300">
        <f>+'W2 Cost &amp; Sales'!F30</f>
        <v>2493.5349294527505</v>
      </c>
      <c r="G22" s="312">
        <f>+'W2 Cost &amp; Sales'!I30</f>
        <v>2788.46</v>
      </c>
      <c r="H22" s="301">
        <f t="shared" ref="H22:H42" si="7">+G22-F22</f>
        <v>294.92507054724956</v>
      </c>
      <c r="I22" s="300">
        <f>+'W3 Cost &amp; Sales '!F30</f>
        <v>0</v>
      </c>
      <c r="J22" s="312">
        <f>+'W3 Cost &amp; Sales '!I30</f>
        <v>2788.46</v>
      </c>
      <c r="K22" s="301">
        <f t="shared" ref="K22:K42" si="8">+J22-I22</f>
        <v>2788.46</v>
      </c>
      <c r="L22" s="300">
        <f>+'W4 Cost &amp; Sales'!F30</f>
        <v>0</v>
      </c>
      <c r="M22" s="312">
        <f>+'W4 Cost &amp; Sales'!I30</f>
        <v>2788.46</v>
      </c>
      <c r="N22" s="301">
        <f t="shared" ref="N22:N42" si="9">+M22-L22</f>
        <v>2788.46</v>
      </c>
      <c r="O22" s="234"/>
      <c r="P22" s="234"/>
      <c r="Q22" s="36"/>
    </row>
    <row r="23" spans="1:17">
      <c r="A23" s="230" t="s">
        <v>3</v>
      </c>
      <c r="B23" s="360">
        <f>+'W1 Forecast'!E20</f>
        <v>0.04</v>
      </c>
      <c r="C23" s="354">
        <f>+'W1 Cost &amp; Sales'!F31</f>
        <v>3051.5483999999997</v>
      </c>
      <c r="D23" s="309">
        <f>'W1 Cost &amp; Sales'!I31</f>
        <v>4359.12</v>
      </c>
      <c r="E23" s="288">
        <f t="shared" si="3"/>
        <v>1307.5716000000002</v>
      </c>
      <c r="F23" s="287">
        <f>+'W2 Cost &amp; Sales'!F31</f>
        <v>2536.0468000000001</v>
      </c>
      <c r="G23" s="309">
        <f>+'W2 Cost &amp; Sales'!I31</f>
        <v>4224.87</v>
      </c>
      <c r="H23" s="288">
        <f t="shared" si="7"/>
        <v>1688.8231999999998</v>
      </c>
      <c r="I23" s="287">
        <f>+'W3 Cost &amp; Sales '!F31</f>
        <v>0</v>
      </c>
      <c r="J23" s="309">
        <f>+'W3 Cost &amp; Sales '!I31</f>
        <v>0</v>
      </c>
      <c r="K23" s="288">
        <f t="shared" si="8"/>
        <v>0</v>
      </c>
      <c r="L23" s="287">
        <f>+'W4 Cost &amp; Sales'!F31</f>
        <v>0</v>
      </c>
      <c r="M23" s="309">
        <f>+'W4 Cost &amp; Sales'!I31</f>
        <v>0</v>
      </c>
      <c r="N23" s="288">
        <f t="shared" si="9"/>
        <v>0</v>
      </c>
      <c r="O23" s="234"/>
      <c r="P23" s="234"/>
      <c r="Q23" s="36"/>
    </row>
    <row r="24" spans="1:17">
      <c r="A24" s="230" t="s">
        <v>168</v>
      </c>
      <c r="B24" s="360">
        <f>+'W1 Forecast'!E21</f>
        <v>1.35E-2</v>
      </c>
      <c r="C24" s="354">
        <f>+'W1 Cost &amp; Sales'!F32</f>
        <v>1029.8975849999999</v>
      </c>
      <c r="D24" s="309">
        <f>'W1 Cost &amp; Sales'!I32</f>
        <v>998</v>
      </c>
      <c r="E24" s="288">
        <f t="shared" si="3"/>
        <v>-31.897584999999935</v>
      </c>
      <c r="F24" s="287">
        <f>+'W2 Cost &amp; Sales'!F32</f>
        <v>855.91579500000012</v>
      </c>
      <c r="G24" s="309">
        <f>+'W2 Cost &amp; Sales'!I32</f>
        <v>691</v>
      </c>
      <c r="H24" s="288">
        <f t="shared" si="7"/>
        <v>-164.91579500000012</v>
      </c>
      <c r="I24" s="287">
        <f>+'W3 Cost &amp; Sales '!F32</f>
        <v>0</v>
      </c>
      <c r="J24" s="309">
        <f>+'W3 Cost &amp; Sales '!I32</f>
        <v>0</v>
      </c>
      <c r="K24" s="288">
        <f t="shared" si="8"/>
        <v>0</v>
      </c>
      <c r="L24" s="287">
        <f>+'W4 Cost &amp; Sales'!F32</f>
        <v>0</v>
      </c>
      <c r="M24" s="309">
        <f>+'W4 Cost &amp; Sales'!I32</f>
        <v>0</v>
      </c>
      <c r="N24" s="288">
        <f t="shared" si="9"/>
        <v>0</v>
      </c>
      <c r="O24" s="234"/>
      <c r="P24" s="234"/>
      <c r="Q24" s="36"/>
    </row>
    <row r="25" spans="1:17">
      <c r="A25" s="230" t="s">
        <v>169</v>
      </c>
      <c r="B25" s="360"/>
      <c r="C25" s="354">
        <f>+'W1 Cost &amp; Sales'!F33</f>
        <v>785.77371299999993</v>
      </c>
      <c r="D25" s="309">
        <f>'W1 Cost &amp; Sales'!I33</f>
        <v>236.5</v>
      </c>
      <c r="E25" s="288">
        <f t="shared" si="3"/>
        <v>-549.27371299999993</v>
      </c>
      <c r="F25" s="287">
        <f>+'W2 Cost &amp; Sales'!F33</f>
        <v>653.03205100000002</v>
      </c>
      <c r="G25" s="309">
        <f>+'W2 Cost &amp; Sales'!I33</f>
        <v>0</v>
      </c>
      <c r="H25" s="288">
        <f t="shared" si="7"/>
        <v>-653.03205100000002</v>
      </c>
      <c r="I25" s="287">
        <f>+'W3 Cost &amp; Sales '!F33</f>
        <v>0</v>
      </c>
      <c r="J25" s="309">
        <f>+'W3 Cost &amp; Sales '!I33</f>
        <v>0</v>
      </c>
      <c r="K25" s="288">
        <f t="shared" si="8"/>
        <v>0</v>
      </c>
      <c r="L25" s="287">
        <f>+'W4 Cost &amp; Sales'!F33</f>
        <v>0</v>
      </c>
      <c r="M25" s="309">
        <f>+'W4 Cost &amp; Sales'!I33</f>
        <v>0</v>
      </c>
      <c r="N25" s="288">
        <f t="shared" si="9"/>
        <v>0</v>
      </c>
      <c r="O25" s="234"/>
      <c r="P25" s="234"/>
      <c r="Q25" s="36"/>
    </row>
    <row r="26" spans="1:17">
      <c r="A26" s="230" t="s">
        <v>4</v>
      </c>
      <c r="B26" s="360">
        <f>+'W1 Forecast'!E23</f>
        <v>4.4999999999999997E-3</v>
      </c>
      <c r="C26" s="354">
        <f>+'W1 Cost &amp; Sales'!F34</f>
        <v>343.29919499999994</v>
      </c>
      <c r="D26" s="309">
        <f>'W1 Cost &amp; Sales'!I34</f>
        <v>697.03</v>
      </c>
      <c r="E26" s="288">
        <f t="shared" si="3"/>
        <v>353.73080500000003</v>
      </c>
      <c r="F26" s="287">
        <f>+'W2 Cost &amp; Sales'!F34</f>
        <v>285.30526500000002</v>
      </c>
      <c r="G26" s="309">
        <f>+'W2 Cost &amp; Sales'!I34</f>
        <v>674.41</v>
      </c>
      <c r="H26" s="288">
        <f t="shared" si="7"/>
        <v>389.10473499999995</v>
      </c>
      <c r="I26" s="287">
        <f>+'W3 Cost &amp; Sales '!F34</f>
        <v>0</v>
      </c>
      <c r="J26" s="309">
        <f>+'W3 Cost &amp; Sales '!I34</f>
        <v>0</v>
      </c>
      <c r="K26" s="288">
        <f t="shared" si="8"/>
        <v>0</v>
      </c>
      <c r="L26" s="287">
        <f>+'W4 Cost &amp; Sales'!F34</f>
        <v>0</v>
      </c>
      <c r="M26" s="309">
        <f>+'W4 Cost &amp; Sales'!I34</f>
        <v>0</v>
      </c>
      <c r="N26" s="288">
        <f t="shared" si="9"/>
        <v>0</v>
      </c>
      <c r="O26" s="234"/>
      <c r="P26" s="234"/>
      <c r="Q26" s="36"/>
    </row>
    <row r="27" spans="1:17">
      <c r="A27" s="230" t="s">
        <v>170</v>
      </c>
      <c r="B27" s="360">
        <f>+'W1 Forecast'!E24</f>
        <v>5.0000000000000001E-3</v>
      </c>
      <c r="C27" s="354">
        <f>+'W1 Cost &amp; Sales'!F35</f>
        <v>381.44354999999996</v>
      </c>
      <c r="D27" s="309">
        <f>'W1 Cost &amp; Sales'!I35</f>
        <v>0</v>
      </c>
      <c r="E27" s="288">
        <f t="shared" si="3"/>
        <v>-381.44354999999996</v>
      </c>
      <c r="F27" s="287">
        <f>+'W2 Cost &amp; Sales'!F35</f>
        <v>317.00585000000001</v>
      </c>
      <c r="G27" s="309">
        <f>+'W2 Cost &amp; Sales'!I35</f>
        <v>0</v>
      </c>
      <c r="H27" s="288">
        <f t="shared" si="7"/>
        <v>-317.00585000000001</v>
      </c>
      <c r="I27" s="287">
        <f>+'W3 Cost &amp; Sales '!F35</f>
        <v>0</v>
      </c>
      <c r="J27" s="309">
        <f>+'W3 Cost &amp; Sales '!I35</f>
        <v>0</v>
      </c>
      <c r="K27" s="288">
        <f t="shared" si="8"/>
        <v>0</v>
      </c>
      <c r="L27" s="287">
        <f>+'W4 Cost &amp; Sales'!F35</f>
        <v>0</v>
      </c>
      <c r="M27" s="309">
        <f>+'W4 Cost &amp; Sales'!I35</f>
        <v>0</v>
      </c>
      <c r="N27" s="288">
        <f t="shared" si="9"/>
        <v>0</v>
      </c>
      <c r="O27" s="234"/>
      <c r="P27" s="234"/>
      <c r="Q27" s="36"/>
    </row>
    <row r="28" spans="1:17">
      <c r="A28" s="230" t="s">
        <v>5</v>
      </c>
      <c r="B28" s="360">
        <f>+'W1 Forecast'!E25</f>
        <v>1.4999999999999999E-2</v>
      </c>
      <c r="C28" s="354">
        <f>+'W1 Cost &amp; Sales'!F36</f>
        <v>1144.3306499999999</v>
      </c>
      <c r="D28" s="309">
        <f>'W1 Cost &amp; Sales'!I36</f>
        <v>1081.92</v>
      </c>
      <c r="E28" s="288">
        <f t="shared" si="3"/>
        <v>-62.410649999999805</v>
      </c>
      <c r="F28" s="287">
        <f>+'W2 Cost &amp; Sales'!F36</f>
        <v>951.01755000000003</v>
      </c>
      <c r="G28" s="309">
        <f>+'W2 Cost &amp; Sales'!I36</f>
        <v>969</v>
      </c>
      <c r="H28" s="288">
        <f t="shared" si="7"/>
        <v>17.982449999999972</v>
      </c>
      <c r="I28" s="287">
        <f>+'W3 Cost &amp; Sales '!F36</f>
        <v>0</v>
      </c>
      <c r="J28" s="309">
        <f>+'W3 Cost &amp; Sales '!I36</f>
        <v>0</v>
      </c>
      <c r="K28" s="288">
        <f t="shared" si="8"/>
        <v>0</v>
      </c>
      <c r="L28" s="287">
        <f>+'W4 Cost &amp; Sales'!F36</f>
        <v>0</v>
      </c>
      <c r="M28" s="309">
        <f>+'W4 Cost &amp; Sales'!I36</f>
        <v>0</v>
      </c>
      <c r="N28" s="288">
        <f t="shared" si="9"/>
        <v>0</v>
      </c>
      <c r="O28" s="234"/>
      <c r="P28" s="234"/>
      <c r="Q28" s="36"/>
    </row>
    <row r="29" spans="1:17">
      <c r="A29" s="230" t="s">
        <v>162</v>
      </c>
      <c r="B29" s="360"/>
      <c r="C29" s="354">
        <f>+'W1 Cost &amp; Sales'!F37</f>
        <v>0</v>
      </c>
      <c r="D29" s="309">
        <f>'W1 Cost &amp; Sales'!I37</f>
        <v>0</v>
      </c>
      <c r="E29" s="288">
        <f t="shared" si="3"/>
        <v>0</v>
      </c>
      <c r="F29" s="287">
        <f>+'W2 Cost &amp; Sales'!F37</f>
        <v>0</v>
      </c>
      <c r="G29" s="309">
        <f>+'W2 Cost &amp; Sales'!I37</f>
        <v>0</v>
      </c>
      <c r="H29" s="288">
        <f t="shared" si="7"/>
        <v>0</v>
      </c>
      <c r="I29" s="287">
        <f>+'W3 Cost &amp; Sales '!F37</f>
        <v>0</v>
      </c>
      <c r="J29" s="309">
        <f>+'W3 Cost &amp; Sales '!I37</f>
        <v>0</v>
      </c>
      <c r="K29" s="288">
        <f t="shared" si="8"/>
        <v>0</v>
      </c>
      <c r="L29" s="287">
        <f>+'W4 Cost &amp; Sales'!F37</f>
        <v>0</v>
      </c>
      <c r="M29" s="309">
        <f>+'W4 Cost &amp; Sales'!I37</f>
        <v>0</v>
      </c>
      <c r="N29" s="288">
        <f t="shared" si="9"/>
        <v>0</v>
      </c>
      <c r="O29" s="234"/>
      <c r="P29" s="234"/>
      <c r="Q29" s="36"/>
    </row>
    <row r="30" spans="1:17">
      <c r="A30" s="230" t="s">
        <v>101</v>
      </c>
      <c r="B30" s="360"/>
      <c r="C30" s="354">
        <f>+'W1 Cost &amp; Sales'!F38</f>
        <v>0</v>
      </c>
      <c r="D30" s="309">
        <f>'W1 Cost &amp; Sales'!I38</f>
        <v>0</v>
      </c>
      <c r="E30" s="288">
        <f>+D30-C30</f>
        <v>0</v>
      </c>
      <c r="F30" s="287">
        <f>+'W2 Cost &amp; Sales'!F38</f>
        <v>0</v>
      </c>
      <c r="G30" s="309">
        <f>+'W2 Cost &amp; Sales'!I38</f>
        <v>0</v>
      </c>
      <c r="H30" s="288">
        <f t="shared" si="7"/>
        <v>0</v>
      </c>
      <c r="I30" s="287">
        <f>+'W3 Cost &amp; Sales '!F38</f>
        <v>0</v>
      </c>
      <c r="J30" s="309">
        <f>+'W3 Cost &amp; Sales '!I38</f>
        <v>0</v>
      </c>
      <c r="K30" s="288">
        <f t="shared" si="8"/>
        <v>0</v>
      </c>
      <c r="L30" s="287">
        <f>+'W4 Cost &amp; Sales'!F38</f>
        <v>0</v>
      </c>
      <c r="M30" s="309">
        <f>+'W4 Cost &amp; Sales'!I38</f>
        <v>0</v>
      </c>
      <c r="N30" s="288">
        <f t="shared" si="9"/>
        <v>0</v>
      </c>
      <c r="O30" s="234"/>
      <c r="P30" s="234"/>
      <c r="Q30" s="234"/>
    </row>
    <row r="31" spans="1:17">
      <c r="A31" s="205" t="s">
        <v>6</v>
      </c>
      <c r="B31" s="360"/>
      <c r="C31" s="354">
        <f>SUM(C22:C30)</f>
        <v>9614.8860062151543</v>
      </c>
      <c r="D31" s="309">
        <f>SUM(D22:D30)</f>
        <v>10161.030000000001</v>
      </c>
      <c r="E31" s="288">
        <f t="shared" si="3"/>
        <v>546.14399378484632</v>
      </c>
      <c r="F31" s="287">
        <f>SUM(F22:F30)</f>
        <v>8091.8582404527515</v>
      </c>
      <c r="G31" s="309">
        <f>SUM(G22:G30)</f>
        <v>9347.74</v>
      </c>
      <c r="H31" s="288">
        <f t="shared" si="7"/>
        <v>1255.8817595472483</v>
      </c>
      <c r="I31" s="287">
        <f>SUM(I22:I30)</f>
        <v>0</v>
      </c>
      <c r="J31" s="309">
        <f>SUM(J22:J30)</f>
        <v>2788.46</v>
      </c>
      <c r="K31" s="288">
        <f t="shared" si="8"/>
        <v>2788.46</v>
      </c>
      <c r="L31" s="287">
        <f>SUM(L22:L30)</f>
        <v>0</v>
      </c>
      <c r="M31" s="309">
        <f>SUM(M22:M30)</f>
        <v>2788.46</v>
      </c>
      <c r="N31" s="288">
        <f t="shared" si="9"/>
        <v>2788.46</v>
      </c>
      <c r="O31" s="234"/>
      <c r="P31" s="234"/>
      <c r="Q31" s="36"/>
    </row>
    <row r="32" spans="1:17">
      <c r="A32" s="205" t="s">
        <v>16</v>
      </c>
      <c r="B32" s="360"/>
      <c r="C32" s="354">
        <v>3245</v>
      </c>
      <c r="D32" s="309">
        <v>3245</v>
      </c>
      <c r="E32" s="288">
        <f t="shared" si="3"/>
        <v>0</v>
      </c>
      <c r="F32" s="287">
        <f>+'W2 Cost &amp; Sales'!F40</f>
        <v>2070.4908461861778</v>
      </c>
      <c r="G32" s="309">
        <f>+'W2 Cost &amp; Sales'!I40</f>
        <v>2315.38</v>
      </c>
      <c r="H32" s="288">
        <f t="shared" si="7"/>
        <v>244.8891538138223</v>
      </c>
      <c r="I32" s="287">
        <f>+'W3 Cost &amp; Sales '!F40</f>
        <v>0</v>
      </c>
      <c r="J32" s="309">
        <f>+'W3 Cost &amp; Sales '!I40</f>
        <v>2315.38</v>
      </c>
      <c r="K32" s="288">
        <f t="shared" si="8"/>
        <v>2315.38</v>
      </c>
      <c r="L32" s="287">
        <f>+'W4 Cost &amp; Sales'!F40</f>
        <v>0</v>
      </c>
      <c r="M32" s="309">
        <f>+'W4 Cost &amp; Sales'!I40</f>
        <v>2315.38</v>
      </c>
      <c r="N32" s="288">
        <f t="shared" si="9"/>
        <v>2315.38</v>
      </c>
      <c r="O32" s="234"/>
      <c r="P32" s="234"/>
      <c r="Q32" s="36"/>
    </row>
    <row r="33" spans="1:17">
      <c r="A33" s="230" t="s">
        <v>7</v>
      </c>
      <c r="B33" s="360">
        <f>+'W1 Forecast'!E30</f>
        <v>3.2500000000000001E-2</v>
      </c>
      <c r="C33" s="354">
        <f>+'W1 Cost &amp; Sales'!F41</f>
        <v>2479.3830749999997</v>
      </c>
      <c r="D33" s="309">
        <f>'W1 Cost &amp; Sales'!I41</f>
        <v>1718.96</v>
      </c>
      <c r="E33" s="288">
        <f t="shared" si="3"/>
        <v>-760.4230749999997</v>
      </c>
      <c r="F33" s="287">
        <f>+'W2 Cost &amp; Sales'!F41</f>
        <v>2060.5380250000003</v>
      </c>
      <c r="G33" s="309">
        <f>+'W2 Cost &amp; Sales'!I41</f>
        <v>1331.99</v>
      </c>
      <c r="H33" s="288">
        <f t="shared" si="7"/>
        <v>-728.54802500000028</v>
      </c>
      <c r="I33" s="287">
        <f>+'W3 Cost &amp; Sales '!F41</f>
        <v>0</v>
      </c>
      <c r="J33" s="309">
        <f>+'W3 Cost &amp; Sales '!I41</f>
        <v>0</v>
      </c>
      <c r="K33" s="288">
        <f t="shared" si="8"/>
        <v>0</v>
      </c>
      <c r="L33" s="287">
        <f>+'W4 Cost &amp; Sales'!F41</f>
        <v>0</v>
      </c>
      <c r="M33" s="309">
        <f>+'W4 Cost &amp; Sales'!I41</f>
        <v>0</v>
      </c>
      <c r="N33" s="288">
        <f t="shared" si="9"/>
        <v>0</v>
      </c>
      <c r="O33" s="234"/>
      <c r="P33" s="234"/>
      <c r="Q33" s="36"/>
    </row>
    <row r="34" spans="1:17">
      <c r="A34" s="230" t="s">
        <v>8</v>
      </c>
      <c r="B34" s="360">
        <f>+'W1 Forecast'!E31</f>
        <v>0.01</v>
      </c>
      <c r="C34" s="354">
        <f>+'W1 Cost &amp; Sales'!F42</f>
        <v>762.88709999999992</v>
      </c>
      <c r="D34" s="309">
        <f>'W1 Cost &amp; Sales'!I42</f>
        <v>784.29</v>
      </c>
      <c r="E34" s="288">
        <f t="shared" si="3"/>
        <v>21.402900000000045</v>
      </c>
      <c r="F34" s="287">
        <f>+'W2 Cost &amp; Sales'!F42</f>
        <v>634.01170000000002</v>
      </c>
      <c r="G34" s="309">
        <f>+'W2 Cost &amp; Sales'!I42</f>
        <v>744.64</v>
      </c>
      <c r="H34" s="288">
        <f t="shared" si="7"/>
        <v>110.62829999999997</v>
      </c>
      <c r="I34" s="287">
        <f>+'W3 Cost &amp; Sales '!F42</f>
        <v>0</v>
      </c>
      <c r="J34" s="309">
        <f>+'W3 Cost &amp; Sales '!I42</f>
        <v>0</v>
      </c>
      <c r="K34" s="288">
        <f t="shared" si="8"/>
        <v>0</v>
      </c>
      <c r="L34" s="287">
        <f>+'W4 Cost &amp; Sales'!F42</f>
        <v>0</v>
      </c>
      <c r="M34" s="309">
        <f>+'W4 Cost &amp; Sales'!I42</f>
        <v>0</v>
      </c>
      <c r="N34" s="288">
        <f t="shared" si="9"/>
        <v>0</v>
      </c>
      <c r="O34" s="234"/>
      <c r="P34" s="234"/>
      <c r="Q34" s="36"/>
    </row>
    <row r="35" spans="1:17">
      <c r="A35" s="230" t="s">
        <v>172</v>
      </c>
      <c r="B35" s="360">
        <f>+'W1 Forecast'!E32</f>
        <v>1.7000000000000001E-2</v>
      </c>
      <c r="C35" s="354">
        <v>550</v>
      </c>
      <c r="D35" s="309">
        <f>'W1 Cost &amp; Sales'!I43</f>
        <v>468.49</v>
      </c>
      <c r="E35" s="288">
        <f t="shared" si="3"/>
        <v>-81.509999999999991</v>
      </c>
      <c r="F35" s="287">
        <f>+'W2 Cost &amp; Sales'!F43</f>
        <v>1077.8198900000002</v>
      </c>
      <c r="G35" s="309">
        <f>+'W2 Cost &amp; Sales'!I43</f>
        <v>157.6</v>
      </c>
      <c r="H35" s="288">
        <f t="shared" si="7"/>
        <v>-920.21989000000019</v>
      </c>
      <c r="I35" s="287">
        <f>+'W3 Cost &amp; Sales '!F43</f>
        <v>0</v>
      </c>
      <c r="J35" s="309">
        <f>+'W3 Cost &amp; Sales '!I43</f>
        <v>0</v>
      </c>
      <c r="K35" s="288">
        <f t="shared" si="8"/>
        <v>0</v>
      </c>
      <c r="L35" s="287">
        <f>+'W4 Cost &amp; Sales'!F43</f>
        <v>0</v>
      </c>
      <c r="M35" s="309">
        <f>+'W4 Cost &amp; Sales'!I43</f>
        <v>0</v>
      </c>
      <c r="N35" s="288">
        <f t="shared" si="9"/>
        <v>0</v>
      </c>
      <c r="O35" s="234"/>
      <c r="P35" s="234"/>
      <c r="Q35" s="36"/>
    </row>
    <row r="36" spans="1:17">
      <c r="A36" s="230" t="s">
        <v>9</v>
      </c>
      <c r="B36" s="360">
        <f>+'W1 Forecast'!E34</f>
        <v>1.0800000000000001E-2</v>
      </c>
      <c r="C36" s="354">
        <f>+'W1 Cost &amp; Sales'!F45</f>
        <v>823.91806799999995</v>
      </c>
      <c r="D36" s="309">
        <f>'W1 Cost &amp; Sales'!I45</f>
        <v>1250.95</v>
      </c>
      <c r="E36" s="288">
        <f t="shared" si="3"/>
        <v>427.0319320000001</v>
      </c>
      <c r="F36" s="287">
        <f>+'W2 Cost &amp; Sales'!F45</f>
        <v>684.73263600000007</v>
      </c>
      <c r="G36" s="309">
        <f>+'W2 Cost &amp; Sales'!I45</f>
        <v>988.93000000000006</v>
      </c>
      <c r="H36" s="288">
        <f t="shared" si="7"/>
        <v>304.19736399999999</v>
      </c>
      <c r="I36" s="287">
        <f>+'W3 Cost &amp; Sales '!F45</f>
        <v>0</v>
      </c>
      <c r="J36" s="309">
        <f>+'W3 Cost &amp; Sales '!I45</f>
        <v>0</v>
      </c>
      <c r="K36" s="288">
        <f t="shared" si="8"/>
        <v>0</v>
      </c>
      <c r="L36" s="287">
        <f>+'W4 Cost &amp; Sales'!F45</f>
        <v>0</v>
      </c>
      <c r="M36" s="309">
        <f>+'W4 Cost &amp; Sales'!I45</f>
        <v>0</v>
      </c>
      <c r="N36" s="288">
        <f t="shared" si="9"/>
        <v>0</v>
      </c>
      <c r="O36" s="234"/>
      <c r="P36" s="234"/>
      <c r="Q36" s="36"/>
    </row>
    <row r="37" spans="1:17">
      <c r="A37" s="230" t="s">
        <v>10</v>
      </c>
      <c r="B37" s="360">
        <f>+'W1 Forecast'!E35</f>
        <v>7.4999999999999997E-3</v>
      </c>
      <c r="C37" s="354">
        <f>+'W1 Cost &amp; Sales'!F46</f>
        <v>572.16532499999994</v>
      </c>
      <c r="D37" s="309">
        <f>'W1 Cost &amp; Sales'!I46</f>
        <v>0</v>
      </c>
      <c r="E37" s="288">
        <f t="shared" si="3"/>
        <v>-572.16532499999994</v>
      </c>
      <c r="F37" s="287">
        <f>+'W2 Cost &amp; Sales'!F46</f>
        <v>475.50877500000001</v>
      </c>
      <c r="G37" s="309">
        <f>+'W2 Cost &amp; Sales'!I46</f>
        <v>0</v>
      </c>
      <c r="H37" s="288">
        <f t="shared" si="7"/>
        <v>-475.50877500000001</v>
      </c>
      <c r="I37" s="287">
        <f>+'W3 Cost &amp; Sales '!F46</f>
        <v>0</v>
      </c>
      <c r="J37" s="309">
        <f>+'W3 Cost &amp; Sales '!I46</f>
        <v>0</v>
      </c>
      <c r="K37" s="288">
        <f t="shared" si="8"/>
        <v>0</v>
      </c>
      <c r="L37" s="287">
        <f>+'W4 Cost &amp; Sales'!F46</f>
        <v>0</v>
      </c>
      <c r="M37" s="309">
        <f>+'W4 Cost &amp; Sales'!I46</f>
        <v>0</v>
      </c>
      <c r="N37" s="288">
        <f t="shared" si="9"/>
        <v>0</v>
      </c>
      <c r="O37" s="234"/>
      <c r="P37" s="234"/>
      <c r="Q37" s="36"/>
    </row>
    <row r="38" spans="1:17">
      <c r="A38" s="230" t="s">
        <v>75</v>
      </c>
      <c r="B38" s="360">
        <f>+'W1 Forecast'!E36</f>
        <v>4.0000000000000001E-3</v>
      </c>
      <c r="C38" s="354">
        <f>+'W1 Cost &amp; Sales'!F47</f>
        <v>305.15483999999998</v>
      </c>
      <c r="D38" s="309">
        <f>'W1 Cost &amp; Sales'!I47</f>
        <v>820.8</v>
      </c>
      <c r="E38" s="288">
        <f t="shared" si="3"/>
        <v>515.64516000000003</v>
      </c>
      <c r="F38" s="287">
        <f>+'W2 Cost &amp; Sales'!F47</f>
        <v>253.60468000000003</v>
      </c>
      <c r="G38" s="309">
        <f>+'W2 Cost &amp; Sales'!I47</f>
        <v>767.64</v>
      </c>
      <c r="H38" s="288">
        <f t="shared" si="7"/>
        <v>514.03531999999996</v>
      </c>
      <c r="I38" s="287">
        <f>+'W3 Cost &amp; Sales '!F47</f>
        <v>0</v>
      </c>
      <c r="J38" s="309">
        <f>+'W3 Cost &amp; Sales '!I47</f>
        <v>0</v>
      </c>
      <c r="K38" s="288">
        <f t="shared" si="8"/>
        <v>0</v>
      </c>
      <c r="L38" s="287">
        <f>+'W4 Cost &amp; Sales'!F47</f>
        <v>0</v>
      </c>
      <c r="M38" s="309">
        <f>+'W4 Cost &amp; Sales'!I47</f>
        <v>0</v>
      </c>
      <c r="N38" s="288">
        <f t="shared" si="9"/>
        <v>0</v>
      </c>
      <c r="O38" s="234"/>
      <c r="P38" s="234"/>
      <c r="Q38" s="36"/>
    </row>
    <row r="39" spans="1:17">
      <c r="A39" s="205" t="s">
        <v>11</v>
      </c>
      <c r="B39" s="360"/>
      <c r="C39" s="354">
        <f>SUM(C32:C38)</f>
        <v>8738.5084079999979</v>
      </c>
      <c r="D39" s="309">
        <f>SUM(D32:D38)</f>
        <v>8288.49</v>
      </c>
      <c r="E39" s="288">
        <f t="shared" si="3"/>
        <v>-450.01840799999809</v>
      </c>
      <c r="F39" s="287">
        <f>SUM(F32:F38)</f>
        <v>7256.7065521861778</v>
      </c>
      <c r="G39" s="309">
        <f>SUM(G32:G38)</f>
        <v>6306.1800000000012</v>
      </c>
      <c r="H39" s="288">
        <f t="shared" si="7"/>
        <v>-950.52655218617656</v>
      </c>
      <c r="I39" s="287">
        <f>SUM(I32:I38)</f>
        <v>0</v>
      </c>
      <c r="J39" s="309">
        <f>SUM(J32:J38)</f>
        <v>2315.38</v>
      </c>
      <c r="K39" s="288">
        <f t="shared" si="8"/>
        <v>2315.38</v>
      </c>
      <c r="L39" s="287">
        <f>SUM(L32:L38)</f>
        <v>0</v>
      </c>
      <c r="M39" s="309">
        <f>SUM(M32:M38)</f>
        <v>2315.38</v>
      </c>
      <c r="N39" s="288">
        <f t="shared" si="9"/>
        <v>2315.38</v>
      </c>
      <c r="O39" s="234"/>
      <c r="P39" s="234"/>
      <c r="Q39" s="36"/>
    </row>
    <row r="40" spans="1:17">
      <c r="A40" s="205" t="s">
        <v>183</v>
      </c>
      <c r="B40" s="360"/>
      <c r="C40" s="354">
        <f>+C39+C31</f>
        <v>18353.394414215152</v>
      </c>
      <c r="D40" s="309">
        <f>+D39+D31</f>
        <v>18449.52</v>
      </c>
      <c r="E40" s="288">
        <f t="shared" si="3"/>
        <v>96.125585784848226</v>
      </c>
      <c r="F40" s="287">
        <f>+F39+F31</f>
        <v>15348.564792638928</v>
      </c>
      <c r="G40" s="309">
        <f>+G39+G31</f>
        <v>15653.920000000002</v>
      </c>
      <c r="H40" s="288">
        <f t="shared" si="7"/>
        <v>305.35520736107355</v>
      </c>
      <c r="I40" s="287">
        <f>+I39+I31</f>
        <v>0</v>
      </c>
      <c r="J40" s="309">
        <f>+J39+J31</f>
        <v>5103.84</v>
      </c>
      <c r="K40" s="288">
        <f t="shared" si="8"/>
        <v>5103.84</v>
      </c>
      <c r="L40" s="287">
        <f>+L39+L31</f>
        <v>0</v>
      </c>
      <c r="M40" s="309">
        <f>+M39+M31</f>
        <v>5103.84</v>
      </c>
      <c r="N40" s="288">
        <f t="shared" si="9"/>
        <v>5103.84</v>
      </c>
      <c r="O40" s="234"/>
      <c r="P40" s="234"/>
      <c r="Q40" s="36"/>
    </row>
    <row r="41" spans="1:17">
      <c r="A41" s="205" t="s">
        <v>184</v>
      </c>
      <c r="B41" s="360"/>
      <c r="C41" s="354">
        <f>+C40*0.255</f>
        <v>4680.1155756248636</v>
      </c>
      <c r="D41" s="309">
        <f>+D40*0.255</f>
        <v>4704.6275999999998</v>
      </c>
      <c r="E41" s="288">
        <f t="shared" si="3"/>
        <v>24.512024375136207</v>
      </c>
      <c r="F41" s="287">
        <f>+F40*0.255</f>
        <v>3913.8840221229266</v>
      </c>
      <c r="G41" s="309">
        <f>+G40*0.255</f>
        <v>3991.7496000000006</v>
      </c>
      <c r="H41" s="288">
        <f t="shared" si="7"/>
        <v>77.865577877073974</v>
      </c>
      <c r="I41" s="287">
        <f>+I40*0.255</f>
        <v>0</v>
      </c>
      <c r="J41" s="309">
        <f>+J40*0.255</f>
        <v>1301.4792</v>
      </c>
      <c r="K41" s="288">
        <f t="shared" si="8"/>
        <v>1301.4792</v>
      </c>
      <c r="L41" s="287">
        <f>+L40*0.255</f>
        <v>0</v>
      </c>
      <c r="M41" s="309">
        <f>+M40*0.255</f>
        <v>1301.4792</v>
      </c>
      <c r="N41" s="288">
        <f t="shared" si="9"/>
        <v>1301.4792</v>
      </c>
      <c r="O41" s="234"/>
      <c r="P41" s="234"/>
      <c r="Q41" s="36"/>
    </row>
    <row r="42" spans="1:17" ht="15.75" thickBot="1">
      <c r="A42" s="205" t="s">
        <v>185</v>
      </c>
      <c r="B42" s="361"/>
      <c r="C42" s="355">
        <f>+C41+C40</f>
        <v>23033.509989840015</v>
      </c>
      <c r="D42" s="310">
        <f>+D41+D40</f>
        <v>23154.1476</v>
      </c>
      <c r="E42" s="298">
        <f t="shared" si="3"/>
        <v>120.63761015998534</v>
      </c>
      <c r="F42" s="297">
        <f>+F41+F40</f>
        <v>19262.448814761854</v>
      </c>
      <c r="G42" s="310">
        <f>+G41+G40</f>
        <v>19645.669600000001</v>
      </c>
      <c r="H42" s="298">
        <f t="shared" si="7"/>
        <v>383.22078523814707</v>
      </c>
      <c r="I42" s="297">
        <f>+I41+I40</f>
        <v>0</v>
      </c>
      <c r="J42" s="310">
        <f>+J41+J40</f>
        <v>6405.3191999999999</v>
      </c>
      <c r="K42" s="298">
        <f t="shared" si="8"/>
        <v>6405.3191999999999</v>
      </c>
      <c r="L42" s="297">
        <f>+L41+L40</f>
        <v>0</v>
      </c>
      <c r="M42" s="310">
        <f>+M41+M40</f>
        <v>6405.3191999999999</v>
      </c>
      <c r="N42" s="298">
        <f t="shared" si="9"/>
        <v>6405.3191999999999</v>
      </c>
      <c r="O42" s="234"/>
      <c r="P42" s="234"/>
      <c r="Q42" s="36"/>
    </row>
    <row r="43" spans="1:17" ht="15.75" thickBot="1">
      <c r="A43" s="231"/>
      <c r="B43" s="358"/>
      <c r="C43" s="289"/>
      <c r="D43" s="311"/>
      <c r="E43" s="290"/>
      <c r="F43" s="289"/>
      <c r="G43" s="311"/>
      <c r="H43" s="290"/>
      <c r="I43" s="289"/>
      <c r="J43" s="311"/>
      <c r="K43" s="290"/>
      <c r="L43" s="289"/>
      <c r="M43" s="311"/>
      <c r="N43" s="290"/>
      <c r="O43" s="234"/>
      <c r="P43" s="234"/>
    </row>
    <row r="44" spans="1:17">
      <c r="A44" s="231" t="s">
        <v>177</v>
      </c>
      <c r="B44" s="305">
        <v>1.9E-2</v>
      </c>
      <c r="C44" s="300">
        <f>+D$8*$B44</f>
        <v>1448.5354899999998</v>
      </c>
      <c r="D44" s="312">
        <f>+C44</f>
        <v>1448.5354899999998</v>
      </c>
      <c r="E44" s="364">
        <f t="shared" si="3"/>
        <v>0</v>
      </c>
      <c r="F44" s="300">
        <f>+G$8*$B44</f>
        <v>1202.7222300000001</v>
      </c>
      <c r="G44" s="312">
        <f>+F44</f>
        <v>1202.7222300000001</v>
      </c>
      <c r="H44" s="364">
        <f t="shared" ref="H44:H58" si="10">+G44-F44</f>
        <v>0</v>
      </c>
      <c r="I44" s="300">
        <f>+J$8*$B44</f>
        <v>0</v>
      </c>
      <c r="J44" s="312">
        <f>+I44</f>
        <v>0</v>
      </c>
      <c r="K44" s="301">
        <f t="shared" ref="K44:K58" si="11">+J44-I44</f>
        <v>0</v>
      </c>
      <c r="L44" s="353">
        <f>+M$8*$B44</f>
        <v>0</v>
      </c>
      <c r="M44" s="312">
        <f>+L44</f>
        <v>0</v>
      </c>
      <c r="N44" s="301">
        <f t="shared" ref="N44:N58" si="12">+M44-L44</f>
        <v>0</v>
      </c>
      <c r="O44" s="234"/>
      <c r="P44" s="234"/>
      <c r="Q44" s="36"/>
    </row>
    <row r="45" spans="1:17">
      <c r="A45" s="231" t="s">
        <v>178</v>
      </c>
      <c r="B45" s="306">
        <v>1.0999999999999999E-2</v>
      </c>
      <c r="C45" s="287">
        <f t="shared" ref="C45:C53" si="13">+D$8*B45</f>
        <v>838.62580999999989</v>
      </c>
      <c r="D45" s="309">
        <f>+C45</f>
        <v>838.62580999999989</v>
      </c>
      <c r="E45" s="365">
        <f t="shared" si="3"/>
        <v>0</v>
      </c>
      <c r="F45" s="287">
        <f t="shared" ref="F45:F53" si="14">+G$8*$B45</f>
        <v>696.31286999999998</v>
      </c>
      <c r="G45" s="309">
        <f>+F45</f>
        <v>696.31286999999998</v>
      </c>
      <c r="H45" s="365">
        <f t="shared" si="10"/>
        <v>0</v>
      </c>
      <c r="I45" s="287">
        <f>+J$8*$B45</f>
        <v>0</v>
      </c>
      <c r="J45" s="309">
        <f>+I45</f>
        <v>0</v>
      </c>
      <c r="K45" s="288">
        <f t="shared" si="11"/>
        <v>0</v>
      </c>
      <c r="L45" s="354">
        <f t="shared" ref="L45:L47" si="15">+M$8*K45</f>
        <v>0</v>
      </c>
      <c r="M45" s="309">
        <f>+L45</f>
        <v>0</v>
      </c>
      <c r="N45" s="288">
        <f t="shared" si="12"/>
        <v>0</v>
      </c>
      <c r="O45" s="234"/>
      <c r="P45" s="234"/>
      <c r="Q45" s="36"/>
    </row>
    <row r="46" spans="1:17">
      <c r="A46" s="231" t="s">
        <v>179</v>
      </c>
      <c r="B46" s="306">
        <v>0.01</v>
      </c>
      <c r="C46" s="287">
        <f t="shared" si="13"/>
        <v>762.38709999999992</v>
      </c>
      <c r="D46" s="309">
        <f t="shared" ref="D46:D53" si="16">+C46</f>
        <v>762.38709999999992</v>
      </c>
      <c r="E46" s="365">
        <f t="shared" si="3"/>
        <v>0</v>
      </c>
      <c r="F46" s="287">
        <f t="shared" si="14"/>
        <v>633.01170000000002</v>
      </c>
      <c r="G46" s="309">
        <f t="shared" ref="G46:G53" si="17">+F46</f>
        <v>633.01170000000002</v>
      </c>
      <c r="H46" s="365">
        <f t="shared" si="10"/>
        <v>0</v>
      </c>
      <c r="I46" s="287">
        <f t="shared" ref="I46:I53" si="18">+J$8*$B46</f>
        <v>0</v>
      </c>
      <c r="J46" s="309">
        <f t="shared" ref="J46:J53" si="19">+I46</f>
        <v>0</v>
      </c>
      <c r="K46" s="288">
        <f t="shared" si="11"/>
        <v>0</v>
      </c>
      <c r="L46" s="354">
        <f t="shared" si="15"/>
        <v>0</v>
      </c>
      <c r="M46" s="309">
        <f t="shared" ref="M46:M53" si="20">+L46</f>
        <v>0</v>
      </c>
      <c r="N46" s="288">
        <f t="shared" si="12"/>
        <v>0</v>
      </c>
      <c r="O46" s="234"/>
      <c r="P46" s="234"/>
      <c r="Q46" s="36"/>
    </row>
    <row r="47" spans="1:17" ht="15.75" thickBot="1">
      <c r="A47" s="231" t="s">
        <v>180</v>
      </c>
      <c r="B47" s="367">
        <v>1.4999999999999999E-2</v>
      </c>
      <c r="C47" s="368">
        <f t="shared" si="13"/>
        <v>1143.5806499999999</v>
      </c>
      <c r="D47" s="314">
        <f t="shared" si="16"/>
        <v>1143.5806499999999</v>
      </c>
      <c r="E47" s="369">
        <f t="shared" si="3"/>
        <v>0</v>
      </c>
      <c r="F47" s="368">
        <f t="shared" si="14"/>
        <v>949.51755000000003</v>
      </c>
      <c r="G47" s="314">
        <f t="shared" si="17"/>
        <v>949.51755000000003</v>
      </c>
      <c r="H47" s="369">
        <f t="shared" si="10"/>
        <v>0</v>
      </c>
      <c r="I47" s="368">
        <f t="shared" si="18"/>
        <v>0</v>
      </c>
      <c r="J47" s="314">
        <f t="shared" si="19"/>
        <v>0</v>
      </c>
      <c r="K47" s="370">
        <f t="shared" si="11"/>
        <v>0</v>
      </c>
      <c r="L47" s="371">
        <f t="shared" si="15"/>
        <v>0</v>
      </c>
      <c r="M47" s="314">
        <f t="shared" si="20"/>
        <v>0</v>
      </c>
      <c r="N47" s="370">
        <f t="shared" si="12"/>
        <v>0</v>
      </c>
      <c r="O47" s="234"/>
      <c r="P47" s="234"/>
      <c r="Q47" s="36"/>
    </row>
    <row r="48" spans="1:17" ht="15.75" thickBot="1">
      <c r="A48" s="231" t="s">
        <v>181</v>
      </c>
      <c r="B48" s="377"/>
      <c r="C48" s="302">
        <v>3230</v>
      </c>
      <c r="D48" s="313">
        <f t="shared" si="16"/>
        <v>3230</v>
      </c>
      <c r="E48" s="378">
        <f t="shared" si="3"/>
        <v>0</v>
      </c>
      <c r="F48" s="302">
        <v>3230</v>
      </c>
      <c r="G48" s="313">
        <f t="shared" si="17"/>
        <v>3230</v>
      </c>
      <c r="H48" s="378">
        <f t="shared" si="10"/>
        <v>0</v>
      </c>
      <c r="I48" s="302">
        <v>3230</v>
      </c>
      <c r="J48" s="313">
        <f t="shared" si="19"/>
        <v>3230</v>
      </c>
      <c r="K48" s="303">
        <f t="shared" si="11"/>
        <v>0</v>
      </c>
      <c r="L48" s="379">
        <v>3230</v>
      </c>
      <c r="M48" s="313">
        <f t="shared" si="20"/>
        <v>3230</v>
      </c>
      <c r="N48" s="303">
        <f t="shared" si="12"/>
        <v>0</v>
      </c>
      <c r="O48" s="234"/>
      <c r="P48" s="234"/>
      <c r="Q48" s="36"/>
    </row>
    <row r="49" spans="1:17">
      <c r="A49" s="231" t="s">
        <v>182</v>
      </c>
      <c r="B49" s="372">
        <v>4.2500000000000003E-2</v>
      </c>
      <c r="C49" s="373">
        <f t="shared" si="13"/>
        <v>3240.1451750000001</v>
      </c>
      <c r="D49" s="316">
        <f t="shared" si="16"/>
        <v>3240.1451750000001</v>
      </c>
      <c r="E49" s="374">
        <f t="shared" si="3"/>
        <v>0</v>
      </c>
      <c r="F49" s="373">
        <f t="shared" si="14"/>
        <v>2690.2997250000003</v>
      </c>
      <c r="G49" s="316">
        <f t="shared" si="17"/>
        <v>2690.2997250000003</v>
      </c>
      <c r="H49" s="374">
        <f t="shared" si="10"/>
        <v>0</v>
      </c>
      <c r="I49" s="373">
        <f t="shared" si="18"/>
        <v>0</v>
      </c>
      <c r="J49" s="316">
        <f t="shared" si="19"/>
        <v>0</v>
      </c>
      <c r="K49" s="375">
        <f t="shared" si="11"/>
        <v>0</v>
      </c>
      <c r="L49" s="376">
        <f t="shared" ref="L49:L53" si="21">+M$8*K49</f>
        <v>0</v>
      </c>
      <c r="M49" s="316">
        <f t="shared" si="20"/>
        <v>0</v>
      </c>
      <c r="N49" s="375">
        <f t="shared" si="12"/>
        <v>0</v>
      </c>
      <c r="O49" s="234"/>
      <c r="P49" s="234"/>
      <c r="Q49" s="36"/>
    </row>
    <row r="50" spans="1:17">
      <c r="A50" s="231" t="s">
        <v>186</v>
      </c>
      <c r="B50" s="306">
        <f>0.0032+0.0018</f>
        <v>5.0000000000000001E-3</v>
      </c>
      <c r="C50" s="287">
        <f t="shared" si="13"/>
        <v>381.19354999999996</v>
      </c>
      <c r="D50" s="309">
        <f t="shared" si="16"/>
        <v>381.19354999999996</v>
      </c>
      <c r="E50" s="365">
        <f t="shared" si="3"/>
        <v>0</v>
      </c>
      <c r="F50" s="287">
        <f t="shared" si="14"/>
        <v>316.50585000000001</v>
      </c>
      <c r="G50" s="309">
        <f t="shared" si="17"/>
        <v>316.50585000000001</v>
      </c>
      <c r="H50" s="365">
        <f t="shared" si="10"/>
        <v>0</v>
      </c>
      <c r="I50" s="287">
        <f t="shared" si="18"/>
        <v>0</v>
      </c>
      <c r="J50" s="309">
        <f t="shared" si="19"/>
        <v>0</v>
      </c>
      <c r="K50" s="288">
        <f t="shared" si="11"/>
        <v>0</v>
      </c>
      <c r="L50" s="354">
        <f t="shared" si="21"/>
        <v>0</v>
      </c>
      <c r="M50" s="309">
        <f t="shared" si="20"/>
        <v>0</v>
      </c>
      <c r="N50" s="288">
        <f t="shared" si="12"/>
        <v>0</v>
      </c>
      <c r="O50" s="234"/>
      <c r="P50" s="234"/>
      <c r="Q50" s="36"/>
    </row>
    <row r="51" spans="1:17">
      <c r="A51" s="231" t="s">
        <v>187</v>
      </c>
      <c r="B51" s="306">
        <v>1E-3</v>
      </c>
      <c r="C51" s="287">
        <f t="shared" si="13"/>
        <v>76.238709999999998</v>
      </c>
      <c r="D51" s="309">
        <f t="shared" si="16"/>
        <v>76.238709999999998</v>
      </c>
      <c r="E51" s="365">
        <f t="shared" si="3"/>
        <v>0</v>
      </c>
      <c r="F51" s="287">
        <f t="shared" si="14"/>
        <v>63.301170000000006</v>
      </c>
      <c r="G51" s="309">
        <f t="shared" si="17"/>
        <v>63.301170000000006</v>
      </c>
      <c r="H51" s="365">
        <f t="shared" si="10"/>
        <v>0</v>
      </c>
      <c r="I51" s="287">
        <f t="shared" si="18"/>
        <v>0</v>
      </c>
      <c r="J51" s="309">
        <f t="shared" si="19"/>
        <v>0</v>
      </c>
      <c r="K51" s="288">
        <f t="shared" si="11"/>
        <v>0</v>
      </c>
      <c r="L51" s="354">
        <f t="shared" si="21"/>
        <v>0</v>
      </c>
      <c r="M51" s="309">
        <f t="shared" si="20"/>
        <v>0</v>
      </c>
      <c r="N51" s="288">
        <f t="shared" si="12"/>
        <v>0</v>
      </c>
      <c r="O51" s="234"/>
      <c r="P51" s="234"/>
      <c r="Q51" s="36"/>
    </row>
    <row r="52" spans="1:17">
      <c r="A52" s="231" t="s">
        <v>166</v>
      </c>
      <c r="B52" s="306">
        <v>1.4999999999999999E-2</v>
      </c>
      <c r="C52" s="287">
        <f t="shared" si="13"/>
        <v>1143.5806499999999</v>
      </c>
      <c r="D52" s="309">
        <f t="shared" si="16"/>
        <v>1143.5806499999999</v>
      </c>
      <c r="E52" s="365">
        <f t="shared" si="3"/>
        <v>0</v>
      </c>
      <c r="F52" s="287">
        <f t="shared" si="14"/>
        <v>949.51755000000003</v>
      </c>
      <c r="G52" s="309">
        <f t="shared" si="17"/>
        <v>949.51755000000003</v>
      </c>
      <c r="H52" s="365">
        <f t="shared" si="10"/>
        <v>0</v>
      </c>
      <c r="I52" s="287">
        <f t="shared" si="18"/>
        <v>0</v>
      </c>
      <c r="J52" s="309">
        <f t="shared" si="19"/>
        <v>0</v>
      </c>
      <c r="K52" s="288">
        <f t="shared" si="11"/>
        <v>0</v>
      </c>
      <c r="L52" s="354">
        <f t="shared" si="21"/>
        <v>0</v>
      </c>
      <c r="M52" s="309">
        <f t="shared" si="20"/>
        <v>0</v>
      </c>
      <c r="N52" s="288">
        <f t="shared" si="12"/>
        <v>0</v>
      </c>
      <c r="O52" s="234"/>
      <c r="P52" s="234"/>
      <c r="Q52" s="36"/>
    </row>
    <row r="53" spans="1:17">
      <c r="A53" s="231" t="s">
        <v>188</v>
      </c>
      <c r="B53" s="306">
        <v>0.06</v>
      </c>
      <c r="C53" s="287">
        <f t="shared" si="13"/>
        <v>4574.3225999999995</v>
      </c>
      <c r="D53" s="309">
        <f t="shared" si="16"/>
        <v>4574.3225999999995</v>
      </c>
      <c r="E53" s="365">
        <f t="shared" si="3"/>
        <v>0</v>
      </c>
      <c r="F53" s="287">
        <f t="shared" si="14"/>
        <v>3798.0702000000001</v>
      </c>
      <c r="G53" s="309">
        <f t="shared" si="17"/>
        <v>3798.0702000000001</v>
      </c>
      <c r="H53" s="365">
        <f t="shared" si="10"/>
        <v>0</v>
      </c>
      <c r="I53" s="287">
        <f t="shared" si="18"/>
        <v>0</v>
      </c>
      <c r="J53" s="309">
        <f t="shared" si="19"/>
        <v>0</v>
      </c>
      <c r="K53" s="288">
        <f t="shared" si="11"/>
        <v>0</v>
      </c>
      <c r="L53" s="354">
        <f t="shared" si="21"/>
        <v>0</v>
      </c>
      <c r="M53" s="309">
        <f t="shared" si="20"/>
        <v>0</v>
      </c>
      <c r="N53" s="288">
        <f t="shared" si="12"/>
        <v>0</v>
      </c>
      <c r="O53" s="234"/>
      <c r="P53" s="234"/>
      <c r="Q53" s="36"/>
    </row>
    <row r="54" spans="1:17" ht="15.75" thickBot="1">
      <c r="A54" s="231" t="s">
        <v>189</v>
      </c>
      <c r="B54" s="307">
        <v>0</v>
      </c>
      <c r="C54" s="297">
        <v>4171</v>
      </c>
      <c r="D54" s="310">
        <f>+C54</f>
        <v>4171</v>
      </c>
      <c r="E54" s="366">
        <f t="shared" si="3"/>
        <v>0</v>
      </c>
      <c r="F54" s="297">
        <v>4171</v>
      </c>
      <c r="G54" s="310">
        <f>+F54</f>
        <v>4171</v>
      </c>
      <c r="H54" s="366">
        <f t="shared" si="10"/>
        <v>0</v>
      </c>
      <c r="I54" s="297">
        <v>4171</v>
      </c>
      <c r="J54" s="310">
        <f>+I54</f>
        <v>4171</v>
      </c>
      <c r="K54" s="298">
        <f t="shared" si="11"/>
        <v>0</v>
      </c>
      <c r="L54" s="355">
        <v>4171</v>
      </c>
      <c r="M54" s="310">
        <f>+L54</f>
        <v>4171</v>
      </c>
      <c r="N54" s="298">
        <f t="shared" si="12"/>
        <v>0</v>
      </c>
      <c r="O54" s="234"/>
      <c r="P54" s="234"/>
      <c r="Q54" s="36"/>
    </row>
    <row r="55" spans="1:17" ht="15.75" thickBot="1">
      <c r="A55" s="231"/>
      <c r="B55" s="358"/>
      <c r="C55" s="289"/>
      <c r="D55" s="311"/>
      <c r="E55" s="290">
        <f t="shared" si="3"/>
        <v>0</v>
      </c>
      <c r="F55" s="289"/>
      <c r="G55" s="311"/>
      <c r="H55" s="290">
        <f t="shared" si="10"/>
        <v>0</v>
      </c>
      <c r="I55" s="289"/>
      <c r="J55" s="311"/>
      <c r="K55" s="290">
        <f t="shared" si="11"/>
        <v>0</v>
      </c>
      <c r="L55" s="289"/>
      <c r="M55" s="311"/>
      <c r="N55" s="290">
        <f t="shared" si="12"/>
        <v>0</v>
      </c>
      <c r="O55" s="234"/>
      <c r="P55" s="234"/>
      <c r="Q55" s="36"/>
    </row>
    <row r="56" spans="1:17" ht="15.75" thickBot="1">
      <c r="B56" s="358" t="s">
        <v>193</v>
      </c>
      <c r="C56" s="302">
        <f>SUM(C44:C55)+C42+C20</f>
        <v>65252.471324840015</v>
      </c>
      <c r="D56" s="313">
        <f>SUM(D44:D55)+D42+D20</f>
        <v>66731.407334999996</v>
      </c>
      <c r="E56" s="303">
        <f t="shared" si="3"/>
        <v>1478.9360101599814</v>
      </c>
      <c r="F56" s="302">
        <f>SUM(F44:F55)+F42+F20</f>
        <v>55787.485759761861</v>
      </c>
      <c r="G56" s="313">
        <f>SUM(G44:G55)+G42+G20</f>
        <v>56004.108445000005</v>
      </c>
      <c r="H56" s="303">
        <f t="shared" si="10"/>
        <v>216.62268523814419</v>
      </c>
      <c r="I56" s="302">
        <f>SUM(I44:I55)+I42+I20</f>
        <v>7401</v>
      </c>
      <c r="J56" s="313">
        <f>SUM(J44:J55)+J42+J20</f>
        <v>52607.709199999998</v>
      </c>
      <c r="K56" s="303">
        <f t="shared" si="11"/>
        <v>45206.709199999998</v>
      </c>
      <c r="L56" s="302">
        <f>SUM(L44:L55)+L42+L20</f>
        <v>7401</v>
      </c>
      <c r="M56" s="313">
        <f>SUM(M44:M55)+M42+M20</f>
        <v>13806.3192</v>
      </c>
      <c r="N56" s="303">
        <f t="shared" si="12"/>
        <v>6405.3191999999999</v>
      </c>
      <c r="O56" s="234"/>
      <c r="P56" s="234"/>
      <c r="Q56" s="36"/>
    </row>
    <row r="57" spans="1:17" ht="15.75" thickBot="1">
      <c r="B57" s="358"/>
      <c r="C57" s="289"/>
      <c r="D57" s="311"/>
      <c r="E57" s="290">
        <f t="shared" si="3"/>
        <v>0</v>
      </c>
      <c r="F57" s="289"/>
      <c r="G57" s="311"/>
      <c r="H57" s="290">
        <f t="shared" si="10"/>
        <v>0</v>
      </c>
      <c r="I57" s="289"/>
      <c r="J57" s="311"/>
      <c r="K57" s="290">
        <f t="shared" si="11"/>
        <v>0</v>
      </c>
      <c r="L57" s="289"/>
      <c r="M57" s="311"/>
      <c r="N57" s="290">
        <f t="shared" si="12"/>
        <v>0</v>
      </c>
      <c r="O57" s="234"/>
      <c r="P57" s="234"/>
      <c r="Q57" s="36"/>
    </row>
    <row r="58" spans="1:17">
      <c r="B58" s="358" t="s">
        <v>190</v>
      </c>
      <c r="C58" s="300">
        <f>+D13-C56</f>
        <v>8237.3956751599835</v>
      </c>
      <c r="D58" s="312">
        <f>+D13-D56</f>
        <v>6758.4596650000021</v>
      </c>
      <c r="E58" s="301">
        <f t="shared" si="3"/>
        <v>-1478.9360101599814</v>
      </c>
      <c r="F58" s="300">
        <f>+F13-F56</f>
        <v>12443.324983238133</v>
      </c>
      <c r="G58" s="312">
        <f>+G13-G56</f>
        <v>3863.3715549999979</v>
      </c>
      <c r="H58" s="301">
        <f t="shared" si="10"/>
        <v>-8579.9534282381355</v>
      </c>
      <c r="I58" s="300">
        <f>+I13-I56</f>
        <v>92199</v>
      </c>
      <c r="J58" s="312">
        <f>+J13-J56</f>
        <v>-52607.709199999998</v>
      </c>
      <c r="K58" s="301">
        <f t="shared" si="11"/>
        <v>-144806.70919999998</v>
      </c>
      <c r="L58" s="300">
        <f>+L13-L56</f>
        <v>66699</v>
      </c>
      <c r="M58" s="312">
        <f>+M13-M56</f>
        <v>-13806.3192</v>
      </c>
      <c r="N58" s="301">
        <f t="shared" si="12"/>
        <v>-80505.319199999998</v>
      </c>
      <c r="O58" s="234"/>
      <c r="P58" s="234"/>
      <c r="Q58" s="36"/>
    </row>
    <row r="59" spans="1:17">
      <c r="B59" s="358" t="s">
        <v>200</v>
      </c>
      <c r="C59" s="289"/>
      <c r="D59" s="314">
        <f>+D58</f>
        <v>6758.4596650000021</v>
      </c>
      <c r="E59" s="290"/>
      <c r="F59" s="289"/>
      <c r="G59" s="314">
        <f>+G58+D59</f>
        <v>10621.83122</v>
      </c>
      <c r="H59" s="290"/>
      <c r="I59" s="289"/>
      <c r="J59" s="314">
        <f>+J58+G59</f>
        <v>-41985.877979999997</v>
      </c>
      <c r="K59" s="290"/>
      <c r="L59" s="289"/>
      <c r="M59" s="314">
        <f>+M58+J59</f>
        <v>-55792.197179999996</v>
      </c>
      <c r="N59" s="290"/>
      <c r="O59" s="234"/>
      <c r="P59" s="234"/>
      <c r="Q59" s="36"/>
    </row>
    <row r="60" spans="1:17" ht="15.75" thickBot="1">
      <c r="B60" s="358"/>
      <c r="C60" s="304">
        <f>+C58/C8</f>
        <v>0.11146678856779409</v>
      </c>
      <c r="D60" s="315">
        <f>+D58/D8</f>
        <v>8.8648662405226994E-2</v>
      </c>
      <c r="E60" s="292"/>
      <c r="F60" s="304">
        <f>+F58/F8</f>
        <v>0.17550528890321768</v>
      </c>
      <c r="G60" s="315">
        <f>+G58/G8</f>
        <v>6.1031597915172778E-2</v>
      </c>
      <c r="H60" s="292"/>
      <c r="I60" s="304">
        <f>+I58/I8</f>
        <v>0.92569277108433734</v>
      </c>
      <c r="J60" s="315" t="e">
        <f>+J58/J8</f>
        <v>#DIV/0!</v>
      </c>
      <c r="K60" s="292"/>
      <c r="L60" s="304">
        <f>+L58/L8</f>
        <v>0.9001214574898786</v>
      </c>
      <c r="M60" s="315" t="e">
        <f>+M58/M8</f>
        <v>#DIV/0!</v>
      </c>
      <c r="N60" s="292"/>
      <c r="P60" s="234"/>
    </row>
    <row r="61" spans="1:17" ht="15.75" thickBot="1">
      <c r="A61" s="231" t="s">
        <v>194</v>
      </c>
      <c r="B61" s="362">
        <v>0.15</v>
      </c>
      <c r="C61" s="289"/>
      <c r="D61" s="316">
        <f>+D58*B61</f>
        <v>1013.7689497500003</v>
      </c>
      <c r="E61" s="290"/>
      <c r="F61" s="289"/>
      <c r="G61" s="316">
        <f>+G58*B61</f>
        <v>579.50573324999971</v>
      </c>
      <c r="H61" s="290"/>
      <c r="I61" s="289"/>
      <c r="J61" s="316">
        <f>+J58*B61</f>
        <v>-7891.1563799999994</v>
      </c>
      <c r="K61" s="290"/>
      <c r="L61" s="289"/>
      <c r="M61" s="316">
        <f>+M58*B61</f>
        <v>-2070.9478799999997</v>
      </c>
      <c r="N61" s="290"/>
      <c r="P61" s="234"/>
    </row>
    <row r="62" spans="1:17" ht="15.75" thickBot="1">
      <c r="B62" s="358" t="s">
        <v>199</v>
      </c>
      <c r="C62" s="291"/>
      <c r="D62" s="310">
        <f>+D61</f>
        <v>1013.7689497500003</v>
      </c>
      <c r="E62" s="292"/>
      <c r="F62" s="291"/>
      <c r="G62" s="310">
        <f>+G61+D62</f>
        <v>1593.2746830000001</v>
      </c>
      <c r="H62" s="292"/>
      <c r="I62" s="12"/>
      <c r="J62" s="310">
        <f>+J61+G62</f>
        <v>-6297.8816969999989</v>
      </c>
      <c r="K62" s="15"/>
      <c r="L62" s="12"/>
      <c r="M62" s="310">
        <f>+M61+J62</f>
        <v>-8368.8295769999986</v>
      </c>
      <c r="N62" s="15"/>
    </row>
    <row r="63" spans="1:17">
      <c r="A63" s="231"/>
      <c r="B63" s="358"/>
    </row>
    <row r="64" spans="1:17">
      <c r="A64" s="231"/>
      <c r="B64" s="358"/>
    </row>
    <row r="65" spans="1:2">
      <c r="A65" s="231"/>
      <c r="B65" s="358"/>
    </row>
    <row r="66" spans="1:2">
      <c r="A66" s="231"/>
      <c r="B66" s="358"/>
    </row>
    <row r="67" spans="1:2">
      <c r="A67" s="231"/>
      <c r="B67" s="358"/>
    </row>
    <row r="68" spans="1:2">
      <c r="A68" s="231"/>
      <c r="B68" s="358"/>
    </row>
    <row r="69" spans="1:2">
      <c r="A69" s="231"/>
      <c r="B69" s="358"/>
    </row>
    <row r="70" spans="1:2">
      <c r="A70" s="231"/>
      <c r="B70" s="358"/>
    </row>
    <row r="71" spans="1:2">
      <c r="A71" s="231"/>
      <c r="B71" s="358"/>
    </row>
    <row r="72" spans="1:2">
      <c r="A72" s="231"/>
      <c r="B72" s="358"/>
    </row>
    <row r="73" spans="1:2">
      <c r="A73" s="231"/>
      <c r="B73" s="358"/>
    </row>
    <row r="74" spans="1:2">
      <c r="A74" s="231"/>
      <c r="B74" s="358"/>
    </row>
    <row r="75" spans="1:2">
      <c r="A75" s="231"/>
      <c r="B75" s="358"/>
    </row>
    <row r="76" spans="1:2">
      <c r="A76" s="231"/>
      <c r="B76" s="358"/>
    </row>
    <row r="77" spans="1:2">
      <c r="A77" s="231"/>
      <c r="B77" s="358"/>
    </row>
    <row r="78" spans="1:2">
      <c r="A78" s="231"/>
      <c r="B78" s="358"/>
    </row>
  </sheetData>
  <mergeCells count="5">
    <mergeCell ref="C1:E1"/>
    <mergeCell ref="F1:H1"/>
    <mergeCell ref="I1:K1"/>
    <mergeCell ref="L1:N1"/>
    <mergeCell ref="O1:Q1"/>
  </mergeCells>
  <pageMargins left="0.14000000000000001" right="0.14000000000000001" top="0.16" bottom="0.15" header="0.15" footer="0.15"/>
  <pageSetup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38"/>
  <sheetViews>
    <sheetView workbookViewId="0">
      <selection activeCell="H4" sqref="H4"/>
    </sheetView>
  </sheetViews>
  <sheetFormatPr defaultRowHeight="15"/>
  <cols>
    <col min="2" max="2" width="4.28515625" style="18" customWidth="1"/>
    <col min="4" max="4" width="2.85546875" style="18" customWidth="1"/>
    <col min="5" max="5" width="11.7109375" style="19" customWidth="1"/>
    <col min="6" max="8" width="10.28515625" customWidth="1"/>
  </cols>
  <sheetData>
    <row r="1" spans="1:8">
      <c r="E1" s="19" t="str">
        <f>'W1 Forecast'!F2</f>
        <v>Max Fish</v>
      </c>
    </row>
    <row r="3" spans="1:8" ht="15.75" thickBot="1">
      <c r="F3" s="151" t="s">
        <v>91</v>
      </c>
      <c r="G3" s="151" t="s">
        <v>92</v>
      </c>
      <c r="H3" s="151" t="s">
        <v>93</v>
      </c>
    </row>
    <row r="4" spans="1:8">
      <c r="A4" t="s">
        <v>89</v>
      </c>
      <c r="B4" s="18">
        <f>'W1 Forecast'!E3</f>
        <v>2</v>
      </c>
      <c r="C4" t="s">
        <v>90</v>
      </c>
      <c r="D4" s="152">
        <v>1</v>
      </c>
      <c r="E4" s="160" t="s">
        <v>94</v>
      </c>
      <c r="F4" s="153"/>
      <c r="G4" s="153"/>
      <c r="H4" s="154"/>
    </row>
    <row r="5" spans="1:8">
      <c r="D5" s="155">
        <v>1</v>
      </c>
      <c r="E5" s="19" t="s">
        <v>95</v>
      </c>
      <c r="F5" s="150"/>
      <c r="G5" s="150"/>
      <c r="H5" s="156"/>
    </row>
    <row r="6" spans="1:8">
      <c r="D6" s="155">
        <v>1</v>
      </c>
      <c r="E6" s="19" t="s">
        <v>96</v>
      </c>
      <c r="F6" s="150"/>
      <c r="G6" s="150"/>
      <c r="H6" s="156"/>
    </row>
    <row r="7" spans="1:8">
      <c r="D7" s="155">
        <v>1</v>
      </c>
      <c r="E7" s="19" t="s">
        <v>97</v>
      </c>
      <c r="F7" s="150"/>
      <c r="G7" s="150"/>
      <c r="H7" s="156"/>
    </row>
    <row r="8" spans="1:8">
      <c r="D8" s="155">
        <v>1</v>
      </c>
      <c r="E8" s="19" t="s">
        <v>98</v>
      </c>
      <c r="F8" s="150"/>
      <c r="G8" s="150"/>
      <c r="H8" s="156"/>
    </row>
    <row r="9" spans="1:8">
      <c r="D9" s="155">
        <v>1</v>
      </c>
      <c r="E9" s="19" t="s">
        <v>99</v>
      </c>
      <c r="F9" s="150"/>
      <c r="G9" s="150"/>
      <c r="H9" s="156"/>
    </row>
    <row r="10" spans="1:8" ht="15.75" thickBot="1">
      <c r="D10" s="157">
        <v>1</v>
      </c>
      <c r="E10" s="161" t="s">
        <v>100</v>
      </c>
      <c r="F10" s="158"/>
      <c r="G10" s="158"/>
      <c r="H10" s="159"/>
    </row>
    <row r="11" spans="1:8">
      <c r="D11" s="152">
        <v>2</v>
      </c>
      <c r="E11" s="160" t="s">
        <v>94</v>
      </c>
      <c r="F11" s="153"/>
      <c r="G11" s="153"/>
      <c r="H11" s="154"/>
    </row>
    <row r="12" spans="1:8">
      <c r="D12" s="155">
        <v>2</v>
      </c>
      <c r="E12" s="19" t="s">
        <v>95</v>
      </c>
      <c r="F12" s="150"/>
      <c r="G12" s="150"/>
      <c r="H12" s="156"/>
    </row>
    <row r="13" spans="1:8">
      <c r="D13" s="155">
        <v>2</v>
      </c>
      <c r="E13" s="19" t="s">
        <v>96</v>
      </c>
      <c r="F13" s="150"/>
      <c r="G13" s="150"/>
      <c r="H13" s="156"/>
    </row>
    <row r="14" spans="1:8">
      <c r="D14" s="155">
        <v>2</v>
      </c>
      <c r="E14" s="19" t="s">
        <v>97</v>
      </c>
      <c r="F14" s="150"/>
      <c r="G14" s="150"/>
      <c r="H14" s="156"/>
    </row>
    <row r="15" spans="1:8">
      <c r="D15" s="155">
        <v>2</v>
      </c>
      <c r="E15" s="19" t="s">
        <v>98</v>
      </c>
      <c r="F15" s="150"/>
      <c r="G15" s="150"/>
      <c r="H15" s="156"/>
    </row>
    <row r="16" spans="1:8">
      <c r="D16" s="155">
        <v>2</v>
      </c>
      <c r="E16" s="19" t="s">
        <v>99</v>
      </c>
      <c r="F16" s="150"/>
      <c r="G16" s="150"/>
      <c r="H16" s="156"/>
    </row>
    <row r="17" spans="4:8" ht="15.75" thickBot="1">
      <c r="D17" s="157">
        <v>2</v>
      </c>
      <c r="E17" s="161" t="s">
        <v>100</v>
      </c>
      <c r="F17" s="158"/>
      <c r="G17" s="158"/>
      <c r="H17" s="159"/>
    </row>
    <row r="18" spans="4:8">
      <c r="D18" s="152">
        <v>3</v>
      </c>
      <c r="E18" s="160" t="s">
        <v>94</v>
      </c>
      <c r="F18" s="153"/>
      <c r="G18" s="153"/>
      <c r="H18" s="154"/>
    </row>
    <row r="19" spans="4:8">
      <c r="D19" s="155">
        <v>3</v>
      </c>
      <c r="E19" s="19" t="s">
        <v>95</v>
      </c>
      <c r="F19" s="150"/>
      <c r="G19" s="150"/>
      <c r="H19" s="156"/>
    </row>
    <row r="20" spans="4:8">
      <c r="D20" s="155">
        <v>3</v>
      </c>
      <c r="E20" s="19" t="s">
        <v>96</v>
      </c>
      <c r="F20" s="150"/>
      <c r="G20" s="150"/>
      <c r="H20" s="156"/>
    </row>
    <row r="21" spans="4:8">
      <c r="D21" s="155">
        <v>3</v>
      </c>
      <c r="E21" s="19" t="s">
        <v>97</v>
      </c>
      <c r="F21" s="150"/>
      <c r="G21" s="150"/>
      <c r="H21" s="156"/>
    </row>
    <row r="22" spans="4:8">
      <c r="D22" s="155">
        <v>3</v>
      </c>
      <c r="E22" s="19" t="s">
        <v>98</v>
      </c>
      <c r="F22" s="150"/>
      <c r="G22" s="150"/>
      <c r="H22" s="156"/>
    </row>
    <row r="23" spans="4:8">
      <c r="D23" s="155">
        <v>3</v>
      </c>
      <c r="E23" s="19" t="s">
        <v>99</v>
      </c>
      <c r="F23" s="150"/>
      <c r="G23" s="150"/>
      <c r="H23" s="156"/>
    </row>
    <row r="24" spans="4:8" ht="15.75" thickBot="1">
      <c r="D24" s="157">
        <v>3</v>
      </c>
      <c r="E24" s="161" t="s">
        <v>100</v>
      </c>
      <c r="F24" s="158"/>
      <c r="G24" s="158"/>
      <c r="H24" s="159"/>
    </row>
    <row r="25" spans="4:8">
      <c r="D25" s="152">
        <v>4</v>
      </c>
      <c r="E25" s="160" t="s">
        <v>94</v>
      </c>
      <c r="F25" s="153"/>
      <c r="G25" s="153"/>
      <c r="H25" s="154"/>
    </row>
    <row r="26" spans="4:8">
      <c r="D26" s="155">
        <v>4</v>
      </c>
      <c r="E26" s="19" t="s">
        <v>95</v>
      </c>
      <c r="F26" s="150"/>
      <c r="G26" s="150"/>
      <c r="H26" s="156"/>
    </row>
    <row r="27" spans="4:8">
      <c r="D27" s="155">
        <v>4</v>
      </c>
      <c r="E27" s="19" t="s">
        <v>96</v>
      </c>
      <c r="F27" s="150"/>
      <c r="G27" s="150"/>
      <c r="H27" s="156"/>
    </row>
    <row r="28" spans="4:8">
      <c r="D28" s="155">
        <v>4</v>
      </c>
      <c r="E28" s="19" t="s">
        <v>97</v>
      </c>
      <c r="F28" s="150"/>
      <c r="G28" s="150"/>
      <c r="H28" s="156"/>
    </row>
    <row r="29" spans="4:8">
      <c r="D29" s="155">
        <v>4</v>
      </c>
      <c r="E29" s="19" t="s">
        <v>98</v>
      </c>
      <c r="F29" s="150"/>
      <c r="G29" s="150"/>
      <c r="H29" s="156"/>
    </row>
    <row r="30" spans="4:8">
      <c r="D30" s="155">
        <v>4</v>
      </c>
      <c r="E30" s="19" t="s">
        <v>99</v>
      </c>
      <c r="F30" s="150"/>
      <c r="G30" s="150"/>
      <c r="H30" s="156"/>
    </row>
    <row r="31" spans="4:8" ht="15.75" thickBot="1">
      <c r="D31" s="157">
        <v>4</v>
      </c>
      <c r="E31" s="161" t="s">
        <v>100</v>
      </c>
      <c r="F31" s="158"/>
      <c r="G31" s="158"/>
      <c r="H31" s="159"/>
    </row>
    <row r="32" spans="4:8">
      <c r="D32" s="152">
        <v>5</v>
      </c>
      <c r="E32" s="160" t="s">
        <v>94</v>
      </c>
      <c r="F32" s="153"/>
      <c r="G32" s="153"/>
      <c r="H32" s="154"/>
    </row>
    <row r="33" spans="4:8">
      <c r="D33" s="155">
        <v>5</v>
      </c>
      <c r="E33" s="19" t="s">
        <v>95</v>
      </c>
      <c r="F33" s="150"/>
      <c r="G33" s="150"/>
      <c r="H33" s="156"/>
    </row>
    <row r="34" spans="4:8">
      <c r="D34" s="155">
        <v>5</v>
      </c>
      <c r="E34" s="19" t="s">
        <v>96</v>
      </c>
      <c r="F34" s="150"/>
      <c r="G34" s="150"/>
      <c r="H34" s="156"/>
    </row>
    <row r="35" spans="4:8">
      <c r="D35" s="155">
        <v>5</v>
      </c>
      <c r="E35" s="19" t="s">
        <v>97</v>
      </c>
      <c r="F35" s="150"/>
      <c r="G35" s="150"/>
      <c r="H35" s="156"/>
    </row>
    <row r="36" spans="4:8">
      <c r="D36" s="155">
        <v>5</v>
      </c>
      <c r="E36" s="19" t="s">
        <v>98</v>
      </c>
      <c r="F36" s="150"/>
      <c r="G36" s="150"/>
      <c r="H36" s="156"/>
    </row>
    <row r="37" spans="4:8">
      <c r="D37" s="155">
        <v>5</v>
      </c>
      <c r="E37" s="19" t="s">
        <v>99</v>
      </c>
      <c r="F37" s="150"/>
      <c r="G37" s="150"/>
      <c r="H37" s="156"/>
    </row>
    <row r="38" spans="4:8" ht="15.75" thickBot="1">
      <c r="D38" s="157">
        <v>5</v>
      </c>
      <c r="E38" s="161" t="s">
        <v>100</v>
      </c>
      <c r="F38" s="158"/>
      <c r="G38" s="158"/>
      <c r="H38" s="159"/>
    </row>
  </sheetData>
  <phoneticPr fontId="0" type="noConversion"/>
  <pageMargins left="0.7" right="0.7" top="0.2" bottom="0.17" header="0.14000000000000001" footer="0.13"/>
  <pageSetup scale="12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162"/>
  <sheetViews>
    <sheetView workbookViewId="0">
      <selection activeCell="C2" sqref="C2:D2"/>
    </sheetView>
  </sheetViews>
  <sheetFormatPr defaultColWidth="9.140625" defaultRowHeight="15"/>
  <sheetData>
    <row r="1" spans="2:12" ht="15.75" thickBot="1"/>
    <row r="2" spans="2:12" ht="15.75" thickBot="1">
      <c r="B2" s="1" t="s">
        <v>20</v>
      </c>
      <c r="C2" s="901" t="s">
        <v>226</v>
      </c>
      <c r="D2" s="902"/>
    </row>
    <row r="3" spans="2:12" ht="15.75" thickBot="1">
      <c r="B3" s="1" t="s">
        <v>44</v>
      </c>
      <c r="C3" s="903">
        <f>'W4 Forecast '!J14</f>
        <v>44248</v>
      </c>
      <c r="D3" s="904"/>
    </row>
    <row r="4" spans="2:12" ht="15.75" thickBot="1">
      <c r="B4" s="430" t="s">
        <v>21</v>
      </c>
      <c r="C4" s="476">
        <f>'Period Summary'!E6</f>
        <v>2</v>
      </c>
      <c r="D4" s="475" t="s">
        <v>87</v>
      </c>
      <c r="E4" s="477" t="str">
        <f>'Period Summary'!G6</f>
        <v>Summary</v>
      </c>
    </row>
    <row r="5" spans="2:12" ht="15.75" thickBot="1"/>
    <row r="6" spans="2:12" ht="15.75">
      <c r="B6" s="431" t="s">
        <v>227</v>
      </c>
      <c r="C6" s="480"/>
      <c r="D6" s="429" t="s">
        <v>1</v>
      </c>
      <c r="E6" s="481"/>
      <c r="F6" s="479" t="s">
        <v>49</v>
      </c>
      <c r="G6" s="429" t="s">
        <v>51</v>
      </c>
      <c r="H6" s="428"/>
      <c r="I6" s="428"/>
      <c r="J6" s="428"/>
      <c r="K6" s="428"/>
      <c r="L6" s="428"/>
    </row>
    <row r="7" spans="2:12">
      <c r="B7" s="19" t="s">
        <v>29</v>
      </c>
      <c r="C7" s="482"/>
      <c r="D7" s="432">
        <f>'P&amp;L'!D7+'W2 P&amp;L'!D7+'W3 P&amp;L'!D7+'W4 P&amp;L'!D7</f>
        <v>207470.9</v>
      </c>
      <c r="E7" s="7"/>
      <c r="F7" s="483">
        <f>'Period Summary'!E11</f>
        <v>95550.94</v>
      </c>
      <c r="G7" s="484">
        <f>F7-D7</f>
        <v>-111919.95999999999</v>
      </c>
    </row>
    <row r="8" spans="2:12">
      <c r="B8" s="19" t="s">
        <v>24</v>
      </c>
      <c r="C8" s="482"/>
      <c r="D8" s="432">
        <f>'P&amp;L'!D8+'W2 P&amp;L'!D8+'W3 P&amp;L'!D8+'W4 P&amp;L'!D8</f>
        <v>32901.050000000003</v>
      </c>
      <c r="E8" s="7"/>
      <c r="F8" s="483">
        <f>'Period Summary'!E12</f>
        <v>21570.2</v>
      </c>
      <c r="G8" s="484">
        <f t="shared" ref="G8:G11" si="0">F8-D8</f>
        <v>-11330.850000000002</v>
      </c>
    </row>
    <row r="9" spans="2:12">
      <c r="B9" s="19" t="s">
        <v>25</v>
      </c>
      <c r="C9" s="482"/>
      <c r="D9" s="432">
        <f>'P&amp;L'!D9+'W2 P&amp;L'!D9+'W3 P&amp;L'!D9+'W4 P&amp;L'!D9</f>
        <v>15447.250000000002</v>
      </c>
      <c r="E9" s="7"/>
      <c r="F9" s="483">
        <f>'Period Summary'!E13</f>
        <v>3858.2700000000004</v>
      </c>
      <c r="G9" s="484">
        <f t="shared" si="0"/>
        <v>-11588.980000000001</v>
      </c>
    </row>
    <row r="10" spans="2:12">
      <c r="B10" s="19" t="s">
        <v>26</v>
      </c>
      <c r="C10" s="482"/>
      <c r="D10" s="432">
        <f>'P&amp;L'!D10+'W2 P&amp;L'!D10+'W3 P&amp;L'!D10+'W4 P&amp;L'!D10</f>
        <v>53635.399999999994</v>
      </c>
      <c r="E10" s="7"/>
      <c r="F10" s="483">
        <f>'Period Summary'!E14</f>
        <v>16641.52</v>
      </c>
      <c r="G10" s="484">
        <f t="shared" si="0"/>
        <v>-36993.87999999999</v>
      </c>
    </row>
    <row r="11" spans="2:12" ht="15.75" thickBot="1">
      <c r="B11" s="19" t="s">
        <v>85</v>
      </c>
      <c r="C11" s="482"/>
      <c r="D11" s="518">
        <f>'P&amp;L'!D11+'W2 P&amp;L'!D11+'W3 P&amp;L'!D11+'W4 P&amp;L'!D11</f>
        <v>9045.4000000000015</v>
      </c>
      <c r="E11" s="7"/>
      <c r="F11" s="534">
        <f>'Period Summary'!E15</f>
        <v>1918.95</v>
      </c>
      <c r="G11" s="461">
        <f t="shared" si="0"/>
        <v>-7126.4500000000016</v>
      </c>
    </row>
    <row r="12" spans="2:12">
      <c r="B12" s="430" t="s">
        <v>0</v>
      </c>
      <c r="C12" s="485"/>
      <c r="D12" s="531">
        <f>SUM(D7:D11)</f>
        <v>318500</v>
      </c>
      <c r="E12" s="486"/>
      <c r="F12" s="532">
        <f>SUM(F7:F11)</f>
        <v>139539.88</v>
      </c>
      <c r="G12" s="533">
        <f>SUM(G7:G11)</f>
        <v>-178960.12</v>
      </c>
      <c r="H12" s="428"/>
      <c r="I12" s="428"/>
      <c r="J12" s="428"/>
      <c r="K12" s="428"/>
      <c r="L12" s="428"/>
    </row>
    <row r="13" spans="2:12" ht="15.75" thickBot="1">
      <c r="C13" s="433"/>
      <c r="D13" s="8"/>
      <c r="E13" s="7"/>
      <c r="G13" s="8"/>
    </row>
    <row r="14" spans="2:12" ht="15.75">
      <c r="B14" s="431" t="s">
        <v>228</v>
      </c>
      <c r="C14" s="434" t="s">
        <v>13</v>
      </c>
      <c r="D14" s="429" t="s">
        <v>12</v>
      </c>
      <c r="E14" s="478" t="s">
        <v>229</v>
      </c>
      <c r="F14" s="487" t="s">
        <v>230</v>
      </c>
      <c r="G14" s="429" t="s">
        <v>51</v>
      </c>
      <c r="H14" s="428"/>
      <c r="I14" s="428"/>
      <c r="J14" s="428"/>
      <c r="K14" s="428"/>
      <c r="L14" s="428"/>
    </row>
    <row r="15" spans="2:12">
      <c r="B15" s="19" t="s">
        <v>29</v>
      </c>
      <c r="C15" s="488">
        <f>'W1 Forecast'!L20</f>
        <v>0.32</v>
      </c>
      <c r="D15" s="432">
        <f>F7*C15</f>
        <v>30576.300800000001</v>
      </c>
      <c r="E15" s="489">
        <f>'Period Summary'!H11</f>
        <v>34267.4</v>
      </c>
      <c r="F15" s="490">
        <f>E15/F7</f>
        <v>0.35862964822742716</v>
      </c>
      <c r="G15" s="484">
        <f>E15-D15</f>
        <v>3691.0992000000006</v>
      </c>
      <c r="J15" s="36"/>
      <c r="K15" s="36"/>
      <c r="L15" s="36"/>
    </row>
    <row r="16" spans="2:12">
      <c r="B16" s="19" t="s">
        <v>24</v>
      </c>
      <c r="C16" s="488">
        <f>'W1 Forecast'!L21</f>
        <v>0.17</v>
      </c>
      <c r="D16" s="432">
        <f t="shared" ref="D16:D19" si="1">F8*C16</f>
        <v>3666.9340000000002</v>
      </c>
      <c r="E16" s="489">
        <f>'Period Summary'!H12</f>
        <v>17831.45</v>
      </c>
      <c r="F16" s="490">
        <f t="shared" ref="F16:F19" si="2">E16/F8</f>
        <v>0.82667059183503167</v>
      </c>
      <c r="G16" s="484">
        <f t="shared" ref="G16:G19" si="3">E16-D16</f>
        <v>14164.516</v>
      </c>
      <c r="J16" s="36"/>
      <c r="K16" s="36"/>
    </row>
    <row r="17" spans="2:11">
      <c r="B17" s="19" t="s">
        <v>25</v>
      </c>
      <c r="C17" s="488">
        <f>'W1 Forecast'!L22</f>
        <v>0.19</v>
      </c>
      <c r="D17" s="432">
        <f t="shared" si="1"/>
        <v>733.07130000000006</v>
      </c>
      <c r="E17" s="489">
        <f>'Period Summary'!H13</f>
        <v>3701.2700000000004</v>
      </c>
      <c r="F17" s="490">
        <f t="shared" si="2"/>
        <v>0.95930818734821566</v>
      </c>
      <c r="G17" s="484">
        <f t="shared" si="3"/>
        <v>2968.1987000000004</v>
      </c>
      <c r="J17" s="36"/>
      <c r="K17" s="36"/>
    </row>
    <row r="18" spans="2:11">
      <c r="B18" s="19" t="s">
        <v>26</v>
      </c>
      <c r="C18" s="488">
        <f>'W1 Forecast'!L23</f>
        <v>0.23</v>
      </c>
      <c r="D18" s="432">
        <f t="shared" si="1"/>
        <v>3827.5496000000003</v>
      </c>
      <c r="E18" s="489">
        <f>'Period Summary'!H14</f>
        <v>21379.68</v>
      </c>
      <c r="F18" s="490">
        <f t="shared" si="2"/>
        <v>1.2847191843052799</v>
      </c>
      <c r="G18" s="484">
        <f t="shared" si="3"/>
        <v>17552.130400000002</v>
      </c>
      <c r="J18" s="36"/>
      <c r="K18" s="36"/>
    </row>
    <row r="19" spans="2:11" ht="15.75" thickBot="1">
      <c r="B19" s="19" t="s">
        <v>85</v>
      </c>
      <c r="C19" s="504">
        <f>'W1 Forecast'!L24</f>
        <v>0.12</v>
      </c>
      <c r="D19" s="518">
        <f t="shared" si="1"/>
        <v>230.274</v>
      </c>
      <c r="E19" s="523">
        <f>'Period Summary'!H15</f>
        <v>1847.4199999999998</v>
      </c>
      <c r="F19" s="524">
        <f t="shared" si="2"/>
        <v>0.96272440657651315</v>
      </c>
      <c r="G19" s="461">
        <f t="shared" si="3"/>
        <v>1617.1459999999997</v>
      </c>
      <c r="J19" s="36"/>
      <c r="K19" s="36"/>
    </row>
    <row r="20" spans="2:11" ht="15.75" thickBot="1">
      <c r="B20" s="430" t="s">
        <v>0</v>
      </c>
      <c r="C20" s="462">
        <f>D20/F12</f>
        <v>0.27973457982047856</v>
      </c>
      <c r="D20" s="502">
        <f>SUM(D15:D19)</f>
        <v>39034.129699999998</v>
      </c>
      <c r="E20" s="521">
        <f>SUM(E15:E19)</f>
        <v>79027.220000000016</v>
      </c>
      <c r="F20" s="522">
        <f>E20/F12</f>
        <v>0.56634146453329337</v>
      </c>
      <c r="G20" s="441">
        <f>SUM(G15:G19)</f>
        <v>39993.090300000003</v>
      </c>
      <c r="H20" s="428"/>
      <c r="I20" s="428"/>
      <c r="J20" s="428"/>
      <c r="K20" s="493"/>
    </row>
    <row r="21" spans="2:11" ht="15.75" thickBot="1">
      <c r="C21" s="433"/>
      <c r="D21" s="8"/>
      <c r="E21" s="7"/>
      <c r="F21" s="449"/>
      <c r="G21" s="8"/>
    </row>
    <row r="22" spans="2:11" ht="15.75">
      <c r="B22" s="431" t="s">
        <v>201</v>
      </c>
      <c r="C22" s="434" t="s">
        <v>13</v>
      </c>
      <c r="D22" s="429" t="s">
        <v>12</v>
      </c>
      <c r="E22" s="478" t="s">
        <v>229</v>
      </c>
      <c r="F22" s="487" t="s">
        <v>230</v>
      </c>
      <c r="G22" s="429" t="s">
        <v>51</v>
      </c>
      <c r="H22" s="428"/>
      <c r="I22" s="428"/>
      <c r="J22" s="428"/>
      <c r="K22" s="428"/>
    </row>
    <row r="23" spans="2:11">
      <c r="B23" s="19" t="s">
        <v>202</v>
      </c>
      <c r="C23" s="488">
        <f>'W1 Forecast'!C47</f>
        <v>5.0000000000000001E-4</v>
      </c>
      <c r="D23" s="432">
        <f>$F$12*C23</f>
        <v>69.769940000000005</v>
      </c>
      <c r="E23" s="505">
        <f>'P&amp;L'!E24+'W2 P&amp;L'!E23+'W3 P&amp;L'!E23+'W4 P&amp;L'!E23</f>
        <v>0</v>
      </c>
      <c r="F23" s="490">
        <f>E23/$F$12</f>
        <v>0</v>
      </c>
      <c r="G23" s="484">
        <f>E23-D23</f>
        <v>-69.769940000000005</v>
      </c>
      <c r="H23" s="428"/>
      <c r="I23" s="428"/>
      <c r="J23" s="452"/>
      <c r="K23" s="428"/>
    </row>
    <row r="24" spans="2:11">
      <c r="B24" s="19" t="s">
        <v>203</v>
      </c>
      <c r="C24" s="488">
        <f>'W1 Forecast'!C48</f>
        <v>0</v>
      </c>
      <c r="D24" s="432">
        <f t="shared" ref="D24:D30" si="4">$F$12*C24</f>
        <v>0</v>
      </c>
      <c r="E24" s="505">
        <f>'P&amp;L'!E25+'W2 P&amp;L'!E24+'W3 P&amp;L'!E24+'W4 P&amp;L'!E24</f>
        <v>172</v>
      </c>
      <c r="F24" s="490">
        <f t="shared" ref="F24:F31" si="5">E24/$F$12</f>
        <v>1.2326225305625889E-3</v>
      </c>
      <c r="G24" s="484">
        <f t="shared" ref="G24:G30" si="6">E24-D24</f>
        <v>172</v>
      </c>
      <c r="H24" s="428"/>
      <c r="I24" s="428"/>
      <c r="J24" s="428"/>
      <c r="K24" s="428"/>
    </row>
    <row r="25" spans="2:11">
      <c r="B25" s="19" t="s">
        <v>204</v>
      </c>
      <c r="C25" s="488">
        <f>'W1 Forecast'!C49</f>
        <v>3.7000000000000002E-3</v>
      </c>
      <c r="D25" s="432">
        <f t="shared" si="4"/>
        <v>516.29755599999999</v>
      </c>
      <c r="E25" s="505">
        <f>'P&amp;L'!E26+'W2 P&amp;L'!E25+'W3 P&amp;L'!E25+'W4 P&amp;L'!E25</f>
        <v>67.25</v>
      </c>
      <c r="F25" s="490">
        <f t="shared" si="5"/>
        <v>4.8194107662984944E-4</v>
      </c>
      <c r="G25" s="484">
        <f t="shared" si="6"/>
        <v>-449.04755599999999</v>
      </c>
      <c r="H25" s="428"/>
      <c r="I25" s="428"/>
      <c r="J25" s="428"/>
      <c r="K25" s="428"/>
    </row>
    <row r="26" spans="2:11">
      <c r="B26" s="19" t="s">
        <v>231</v>
      </c>
      <c r="C26" s="488">
        <f>'W1 Forecast'!C50</f>
        <v>3.5999999999999999E-3</v>
      </c>
      <c r="D26" s="432">
        <f t="shared" si="4"/>
        <v>502.343568</v>
      </c>
      <c r="E26" s="505">
        <f>'P&amp;L'!E27+'W2 P&amp;L'!E26+'W3 P&amp;L'!E26+'W4 P&amp;L'!E26</f>
        <v>183.5</v>
      </c>
      <c r="F26" s="490">
        <f t="shared" si="5"/>
        <v>1.3150362462688086E-3</v>
      </c>
      <c r="G26" s="484">
        <f t="shared" si="6"/>
        <v>-318.843568</v>
      </c>
      <c r="H26" s="428"/>
      <c r="I26" s="428"/>
      <c r="J26" s="428"/>
      <c r="K26" s="428"/>
    </row>
    <row r="27" spans="2:11">
      <c r="B27" s="19" t="s">
        <v>206</v>
      </c>
      <c r="C27" s="488">
        <f>'W1 Forecast'!C51</f>
        <v>4.4000000000000003E-3</v>
      </c>
      <c r="D27" s="432">
        <f t="shared" si="4"/>
        <v>613.97547200000008</v>
      </c>
      <c r="E27" s="505">
        <f>'P&amp;L'!E28+'W2 P&amp;L'!E27+'W3 P&amp;L'!E27+'W4 P&amp;L'!E27</f>
        <v>348</v>
      </c>
      <c r="F27" s="490">
        <f t="shared" si="5"/>
        <v>2.4939107013708193E-3</v>
      </c>
      <c r="G27" s="484">
        <f t="shared" si="6"/>
        <v>-265.97547200000008</v>
      </c>
      <c r="H27" s="428"/>
      <c r="I27" s="428"/>
      <c r="J27" s="428"/>
      <c r="K27" s="428"/>
    </row>
    <row r="28" spans="2:11">
      <c r="B28" s="19" t="s">
        <v>207</v>
      </c>
      <c r="C28" s="488">
        <f>'W1 Forecast'!C52</f>
        <v>3.5000000000000001E-3</v>
      </c>
      <c r="D28" s="432">
        <f t="shared" si="4"/>
        <v>488.38958000000002</v>
      </c>
      <c r="E28" s="505">
        <f>'P&amp;L'!E29+'W2 P&amp;L'!E28+'W3 P&amp;L'!E28+'W4 P&amp;L'!E28</f>
        <v>239.25</v>
      </c>
      <c r="F28" s="490">
        <f t="shared" si="5"/>
        <v>1.7145636071924384E-3</v>
      </c>
      <c r="G28" s="484">
        <f t="shared" si="6"/>
        <v>-249.13958000000002</v>
      </c>
    </row>
    <row r="29" spans="2:11">
      <c r="B29" s="19" t="s">
        <v>208</v>
      </c>
      <c r="C29" s="488">
        <f>'W1 Forecast'!C62</f>
        <v>3.0000000000000001E-3</v>
      </c>
      <c r="D29" s="432">
        <f t="shared" si="4"/>
        <v>418.61964</v>
      </c>
      <c r="E29" s="505">
        <f>'P&amp;L'!E30+'W2 P&amp;L'!E29+'W3 P&amp;L'!E29+'W4 P&amp;L'!E29</f>
        <v>0</v>
      </c>
      <c r="F29" s="490">
        <f t="shared" si="5"/>
        <v>0</v>
      </c>
      <c r="G29" s="484">
        <f t="shared" si="6"/>
        <v>-418.61964</v>
      </c>
    </row>
    <row r="30" spans="2:11" ht="15.75" thickBot="1">
      <c r="B30" s="19" t="s">
        <v>209</v>
      </c>
      <c r="C30" s="504">
        <f>'W1 Forecast'!C63</f>
        <v>5.0000000000000001E-4</v>
      </c>
      <c r="D30" s="518">
        <f t="shared" si="4"/>
        <v>69.769940000000005</v>
      </c>
      <c r="E30" s="525">
        <f>'P&amp;L'!E40+'W2 P&amp;L'!E30+'W3 P&amp;L'!E30+'W4 P&amp;L'!E30</f>
        <v>0</v>
      </c>
      <c r="F30" s="524">
        <f t="shared" si="5"/>
        <v>0</v>
      </c>
      <c r="G30" s="461">
        <f t="shared" si="6"/>
        <v>-69.769940000000005</v>
      </c>
    </row>
    <row r="31" spans="2:11" ht="15.75" thickBot="1">
      <c r="B31" s="430" t="s">
        <v>0</v>
      </c>
      <c r="C31" s="462">
        <f>D31/F12</f>
        <v>1.9199999999999998E-2</v>
      </c>
      <c r="D31" s="441">
        <f>SUM(D23:D30)</f>
        <v>2679.165696</v>
      </c>
      <c r="E31" s="521">
        <f>SUM(E23:E30)</f>
        <v>1010</v>
      </c>
      <c r="F31" s="474">
        <f t="shared" si="5"/>
        <v>7.2380741620245046E-3</v>
      </c>
      <c r="G31" s="441">
        <f>SUM(G23:G30)</f>
        <v>-1669.1656959999998</v>
      </c>
      <c r="H31" s="428"/>
      <c r="I31" s="428"/>
      <c r="J31" s="428"/>
      <c r="K31" s="428"/>
    </row>
    <row r="32" spans="2:11" ht="15.75" thickBot="1">
      <c r="C32" s="433"/>
      <c r="D32" s="8"/>
      <c r="E32" s="494"/>
      <c r="F32" s="449"/>
      <c r="G32" s="8"/>
    </row>
    <row r="33" spans="1:13">
      <c r="B33" s="19" t="s">
        <v>210</v>
      </c>
      <c r="C33" s="473">
        <f>'W1 Forecast'!C66</f>
        <v>1.04E-2</v>
      </c>
      <c r="D33" s="541">
        <f>$F$12*C33</f>
        <v>1451.2147520000001</v>
      </c>
      <c r="E33" s="544">
        <f>'P&amp;L'!E43+'W2 P&amp;L'!E33+'W3 P&amp;L'!E33+'W4 P&amp;L'!E33</f>
        <v>876.71</v>
      </c>
      <c r="F33" s="539">
        <f>E33/$F$12</f>
        <v>6.2828633649391124E-3</v>
      </c>
      <c r="G33" s="540">
        <f>E33-D33</f>
        <v>-574.50475200000005</v>
      </c>
    </row>
    <row r="34" spans="1:13">
      <c r="B34" s="19" t="s">
        <v>211</v>
      </c>
      <c r="C34" s="436">
        <f>'W1 Forecast'!C67</f>
        <v>7.4999999999999997E-3</v>
      </c>
      <c r="D34" s="530">
        <f t="shared" ref="D34:D36" si="7">$F$12*C34</f>
        <v>1046.5491</v>
      </c>
      <c r="E34" s="516">
        <f>'P&amp;L'!E44+'W2 P&amp;L'!E34+'W3 P&amp;L'!E34+'W4 P&amp;L'!E34</f>
        <v>101.8</v>
      </c>
      <c r="F34" s="490">
        <f t="shared" ref="F34:F36" si="8">E34/$F$12</f>
        <v>7.2954054425157879E-4</v>
      </c>
      <c r="G34" s="484">
        <f t="shared" ref="G34:G36" si="9">E34-D34</f>
        <v>-944.7491</v>
      </c>
    </row>
    <row r="35" spans="1:13">
      <c r="B35" s="19" t="s">
        <v>212</v>
      </c>
      <c r="C35" s="436">
        <f>'W1 Forecast'!C68</f>
        <v>1.3899999999999999E-2</v>
      </c>
      <c r="D35" s="530">
        <f t="shared" si="7"/>
        <v>1939.6043319999999</v>
      </c>
      <c r="E35" s="545">
        <f>'P&amp;L'!E45+'W2 P&amp;L'!E35+'W3 P&amp;L'!E35+'W4 P&amp;L'!E35</f>
        <v>960.96</v>
      </c>
      <c r="F35" s="490">
        <f t="shared" si="8"/>
        <v>6.8866334126129391E-3</v>
      </c>
      <c r="G35" s="484">
        <f t="shared" si="9"/>
        <v>-978.64433199999985</v>
      </c>
    </row>
    <row r="36" spans="1:13" ht="15.75" thickBot="1">
      <c r="B36" s="19" t="s">
        <v>213</v>
      </c>
      <c r="C36" s="503">
        <f>'W1 Forecast'!C69</f>
        <v>0.04</v>
      </c>
      <c r="D36" s="542">
        <f t="shared" si="7"/>
        <v>5581.5952000000007</v>
      </c>
      <c r="E36" s="526">
        <f>D36</f>
        <v>5581.5952000000007</v>
      </c>
      <c r="F36" s="524">
        <f t="shared" si="8"/>
        <v>0.04</v>
      </c>
      <c r="G36" s="461">
        <f t="shared" si="9"/>
        <v>0</v>
      </c>
    </row>
    <row r="37" spans="1:13" ht="15.75" thickBot="1">
      <c r="A37" s="428"/>
      <c r="B37" s="430" t="s">
        <v>214</v>
      </c>
      <c r="C37" s="462">
        <f>D37/F12</f>
        <v>7.1800000000000003E-2</v>
      </c>
      <c r="D37" s="543">
        <f>SUM(D33:D36)</f>
        <v>10018.963384000001</v>
      </c>
      <c r="E37" s="521">
        <f>SUM(E33:E36)</f>
        <v>7521.0652000000009</v>
      </c>
      <c r="F37" s="522">
        <f>E37/F12</f>
        <v>5.3899037321803636E-2</v>
      </c>
      <c r="G37" s="441">
        <f>SUM(G33:G36)</f>
        <v>-2497.8981839999997</v>
      </c>
      <c r="H37" s="428"/>
      <c r="I37" s="428"/>
      <c r="J37" s="428"/>
      <c r="K37" s="428"/>
      <c r="L37" s="428"/>
      <c r="M37" s="428"/>
    </row>
    <row r="38" spans="1:13" ht="15.75" thickBot="1">
      <c r="C38" s="433"/>
      <c r="D38" s="8"/>
      <c r="E38" s="7"/>
      <c r="F38" s="449"/>
      <c r="G38" s="8"/>
      <c r="M38" s="449"/>
    </row>
    <row r="39" spans="1:13" ht="15.75">
      <c r="A39" s="428"/>
      <c r="B39" s="431" t="s">
        <v>215</v>
      </c>
      <c r="C39" s="434" t="s">
        <v>13</v>
      </c>
      <c r="D39" s="429" t="s">
        <v>12</v>
      </c>
      <c r="E39" s="478" t="s">
        <v>229</v>
      </c>
      <c r="F39" s="487" t="s">
        <v>230</v>
      </c>
      <c r="G39" s="429" t="s">
        <v>51</v>
      </c>
      <c r="H39" s="428"/>
      <c r="I39" s="428"/>
      <c r="J39" s="428"/>
      <c r="K39" s="428"/>
      <c r="L39" s="428"/>
      <c r="M39" s="428"/>
    </row>
    <row r="40" spans="1:13">
      <c r="B40" s="19" t="s">
        <v>216</v>
      </c>
      <c r="C40" s="436">
        <f>D40/F12</f>
        <v>5.5818379663218856E-2</v>
      </c>
      <c r="D40" s="506">
        <f>'W1 Forecast'!D73*4</f>
        <v>7788.89</v>
      </c>
      <c r="E40" s="507">
        <f>D40</f>
        <v>7788.89</v>
      </c>
      <c r="F40" s="490">
        <f>E40/$F$12</f>
        <v>5.5818379663218856E-2</v>
      </c>
      <c r="G40" s="484">
        <f>E40-D40</f>
        <v>0</v>
      </c>
      <c r="J40" s="450"/>
      <c r="K40" s="496"/>
      <c r="L40" s="496"/>
      <c r="M40" s="449"/>
    </row>
    <row r="41" spans="1:13">
      <c r="B41" s="19" t="s">
        <v>17</v>
      </c>
      <c r="C41" s="436">
        <f>D41/F12</f>
        <v>7.9932991199361786E-2</v>
      </c>
      <c r="D41" s="506">
        <f>'W1 Cost &amp; Sales'!I30*4</f>
        <v>11153.84</v>
      </c>
      <c r="E41" s="507">
        <f>D41</f>
        <v>11153.84</v>
      </c>
      <c r="F41" s="490">
        <f t="shared" ref="F41:F46" si="10">E41/$F$12</f>
        <v>7.9932991199361786E-2</v>
      </c>
      <c r="G41" s="484">
        <f t="shared" ref="G41:G46" si="11">E41-D41</f>
        <v>0</v>
      </c>
      <c r="J41" s="450"/>
    </row>
    <row r="42" spans="1:13">
      <c r="B42" s="19" t="s">
        <v>217</v>
      </c>
      <c r="C42" s="436">
        <f>'W1 Forecast'!C75</f>
        <v>8.8300000000000003E-2</v>
      </c>
      <c r="D42" s="432">
        <f>F12*C42</f>
        <v>12321.371404000001</v>
      </c>
      <c r="E42" s="508">
        <f>'P&amp;L'!E52+'W2 P&amp;L'!E42+'W3 P&amp;L'!E42+'W4 P&amp;L'!E42</f>
        <v>13931.849999999999</v>
      </c>
      <c r="F42" s="490">
        <f t="shared" si="10"/>
        <v>9.9841350014060484E-2</v>
      </c>
      <c r="G42" s="484">
        <f t="shared" si="11"/>
        <v>1610.4785959999972</v>
      </c>
      <c r="J42" s="450"/>
      <c r="M42" s="497"/>
    </row>
    <row r="43" spans="1:13">
      <c r="B43" s="19" t="s">
        <v>16</v>
      </c>
      <c r="C43" s="436">
        <f>D43/F12</f>
        <v>6.6371850111953665E-2</v>
      </c>
      <c r="D43" s="506">
        <f>'W1 Cost &amp; Sales'!I40*4</f>
        <v>9261.52</v>
      </c>
      <c r="E43" s="507">
        <f>D43</f>
        <v>9261.52</v>
      </c>
      <c r="F43" s="490">
        <f t="shared" si="10"/>
        <v>6.6371850111953665E-2</v>
      </c>
      <c r="G43" s="484">
        <f t="shared" si="11"/>
        <v>0</v>
      </c>
      <c r="J43" s="450"/>
    </row>
    <row r="44" spans="1:13">
      <c r="B44" s="19" t="s">
        <v>218</v>
      </c>
      <c r="C44" s="436">
        <f>'W1 Forecast'!C77</f>
        <v>8.4800000000000014E-2</v>
      </c>
      <c r="D44" s="432">
        <f>F12*C44</f>
        <v>11832.981824000002</v>
      </c>
      <c r="E44" s="508">
        <f>'P&amp;L'!E54+'W2 P&amp;L'!E44+'W3 P&amp;L'!E44+'W4 P&amp;L'!E44</f>
        <v>9077.1899999999987</v>
      </c>
      <c r="F44" s="490">
        <f t="shared" si="10"/>
        <v>6.5050865745333863E-2</v>
      </c>
      <c r="G44" s="484">
        <f t="shared" si="11"/>
        <v>-2755.7918240000035</v>
      </c>
      <c r="J44" s="450"/>
    </row>
    <row r="45" spans="1:13">
      <c r="B45" s="19" t="s">
        <v>219</v>
      </c>
      <c r="C45" s="436">
        <f>D45/F12</f>
        <v>0</v>
      </c>
      <c r="D45" s="506">
        <f>'W1 Forecast'!D78*4</f>
        <v>0</v>
      </c>
      <c r="E45" s="507">
        <f>D45</f>
        <v>0</v>
      </c>
      <c r="F45" s="490">
        <f t="shared" si="10"/>
        <v>0</v>
      </c>
      <c r="G45" s="484">
        <f t="shared" si="11"/>
        <v>0</v>
      </c>
    </row>
    <row r="46" spans="1:13" ht="15.75" thickBot="1">
      <c r="A46" s="520">
        <f>'W1 Forecast'!F79</f>
        <v>0.2525</v>
      </c>
      <c r="B46" s="19" t="s">
        <v>220</v>
      </c>
      <c r="C46" s="503">
        <f>D46/F12</f>
        <v>9.4743863296069916E-2</v>
      </c>
      <c r="D46" s="461">
        <f>SUM(D40:D44)*A46</f>
        <v>13220.547315070002</v>
      </c>
      <c r="E46" s="528">
        <f>SUM(E40:E44)*A46</f>
        <v>12931.355725000003</v>
      </c>
      <c r="F46" s="524">
        <f t="shared" si="10"/>
        <v>9.2671397775317008E-2</v>
      </c>
      <c r="G46" s="461">
        <f t="shared" si="11"/>
        <v>-289.19159006999871</v>
      </c>
      <c r="H46" s="450"/>
    </row>
    <row r="47" spans="1:13" ht="15.75" thickBot="1">
      <c r="A47" s="428"/>
      <c r="B47" s="430" t="s">
        <v>18</v>
      </c>
      <c r="C47" s="462">
        <f>D47/F12</f>
        <v>0.46996708427060424</v>
      </c>
      <c r="D47" s="441">
        <f>SUM(D40:D46)</f>
        <v>65579.150543070005</v>
      </c>
      <c r="E47" s="527">
        <f>SUM(E40:E46)</f>
        <v>64144.645725000009</v>
      </c>
      <c r="F47" s="522">
        <f>E47/F12</f>
        <v>0.45968683450924575</v>
      </c>
      <c r="G47" s="441">
        <f>SUM(G40:G46)</f>
        <v>-1434.5048180700051</v>
      </c>
      <c r="H47" s="428"/>
      <c r="I47" s="428"/>
      <c r="J47" s="428"/>
      <c r="K47" s="428"/>
      <c r="L47" s="428"/>
      <c r="M47" s="428"/>
    </row>
    <row r="48" spans="1:13" ht="15.75" thickBot="1">
      <c r="C48" s="433"/>
      <c r="D48" s="8"/>
      <c r="E48" s="7"/>
      <c r="F48" s="449"/>
      <c r="G48" s="8"/>
    </row>
    <row r="49" spans="2:9">
      <c r="B49" s="19" t="s">
        <v>221</v>
      </c>
      <c r="C49" s="437">
        <f>'W1 Forecast'!C82</f>
        <v>8.4099999999999994E-2</v>
      </c>
      <c r="D49" s="509">
        <f>F12*C49</f>
        <v>11735.303908</v>
      </c>
      <c r="E49" s="510">
        <f>D49</f>
        <v>11735.303908</v>
      </c>
      <c r="F49" s="495">
        <f>E49/F12</f>
        <v>8.4099999999999994E-2</v>
      </c>
      <c r="G49" s="540">
        <f>E49-D49</f>
        <v>0</v>
      </c>
    </row>
    <row r="50" spans="2:9">
      <c r="B50" s="19" t="s">
        <v>166</v>
      </c>
      <c r="C50" s="436">
        <f>'W1 Forecast'!C83</f>
        <v>1.0999999999999999E-2</v>
      </c>
      <c r="D50" s="432">
        <f>F12*C50</f>
        <v>1534.93868</v>
      </c>
      <c r="E50" s="517">
        <f>'P&amp;L'!E60+'W2 P&amp;L'!E50+'W3 P&amp;L'!E50+'W4 P&amp;L'!E50</f>
        <v>38.29</v>
      </c>
      <c r="F50" s="490">
        <f>E50/F12</f>
        <v>2.7440184125140422E-4</v>
      </c>
      <c r="G50" s="484">
        <f t="shared" ref="G50:G51" si="12">E50-D50</f>
        <v>-1496.64868</v>
      </c>
    </row>
    <row r="51" spans="2:9" ht="15.75" thickBot="1">
      <c r="B51" s="19" t="s">
        <v>222</v>
      </c>
      <c r="C51" s="503">
        <f>D51/F12</f>
        <v>0.25978236472612704</v>
      </c>
      <c r="D51" s="519">
        <f>'W1 Forecast'!D84*4</f>
        <v>36250</v>
      </c>
      <c r="E51" s="529">
        <f>D51</f>
        <v>36250</v>
      </c>
      <c r="F51" s="524">
        <f>E51/F12</f>
        <v>0.25978236472612704</v>
      </c>
      <c r="G51" s="461">
        <f t="shared" si="12"/>
        <v>0</v>
      </c>
    </row>
    <row r="52" spans="2:9" ht="15.75" thickBot="1">
      <c r="B52" s="430" t="s">
        <v>224</v>
      </c>
      <c r="C52" s="462">
        <f>D52/F12</f>
        <v>0.35488236472612705</v>
      </c>
      <c r="D52" s="441">
        <f>SUM(D49:D51)</f>
        <v>49520.242588000001</v>
      </c>
      <c r="E52" s="521">
        <f>SUM(E49:E51)</f>
        <v>48023.593908000003</v>
      </c>
      <c r="F52" s="522">
        <f>E52/F12</f>
        <v>0.34415676656737842</v>
      </c>
      <c r="G52" s="441">
        <f>SUM(G49:G51)</f>
        <v>-1496.64868</v>
      </c>
      <c r="H52" s="428"/>
      <c r="I52" s="428"/>
    </row>
    <row r="53" spans="2:9">
      <c r="C53" s="433"/>
      <c r="D53" s="8"/>
      <c r="E53" s="7"/>
      <c r="F53" s="449"/>
      <c r="G53" s="8"/>
    </row>
    <row r="54" spans="2:9">
      <c r="C54" s="438" t="s">
        <v>13</v>
      </c>
      <c r="D54" s="439" t="s">
        <v>12</v>
      </c>
      <c r="E54" s="499" t="s">
        <v>229</v>
      </c>
      <c r="F54" s="500" t="s">
        <v>230</v>
      </c>
      <c r="G54" s="439" t="s">
        <v>51</v>
      </c>
    </row>
    <row r="55" spans="2:9" ht="15.75" thickBot="1">
      <c r="B55" s="430" t="s">
        <v>225</v>
      </c>
      <c r="C55" s="435">
        <f>D55/F12</f>
        <v>-0.19558402881720974</v>
      </c>
      <c r="D55" s="492">
        <f>F12-D20-D31-D37-D47-D52</f>
        <v>-27291.771911069991</v>
      </c>
      <c r="E55" s="498">
        <f>F12-E20-E31-E37-E47-E52</f>
        <v>-60186.64483300002</v>
      </c>
      <c r="F55" s="491">
        <f>E55/F12</f>
        <v>-0.43132217709374565</v>
      </c>
      <c r="G55" s="492">
        <f>E55-D55</f>
        <v>-32894.872921930029</v>
      </c>
      <c r="H55" s="428"/>
      <c r="I55" s="501"/>
    </row>
    <row r="56" spans="2:9">
      <c r="E56" s="36"/>
      <c r="F56" s="449"/>
    </row>
    <row r="57" spans="2:9">
      <c r="B57" s="511"/>
      <c r="C57" t="s">
        <v>232</v>
      </c>
    </row>
    <row r="58" spans="2:9">
      <c r="B58" s="512"/>
      <c r="C58" t="s">
        <v>233</v>
      </c>
    </row>
    <row r="59" spans="2:9">
      <c r="B59" s="513"/>
      <c r="C59" t="s">
        <v>234</v>
      </c>
    </row>
    <row r="60" spans="2:9">
      <c r="B60" s="514"/>
      <c r="C60" t="s">
        <v>234</v>
      </c>
    </row>
    <row r="61" spans="2:9">
      <c r="B61" s="515"/>
      <c r="C61" t="s">
        <v>235</v>
      </c>
    </row>
    <row r="62" spans="2:9">
      <c r="F62" s="449"/>
    </row>
    <row r="63" spans="2:9">
      <c r="F63" s="449"/>
    </row>
    <row r="64" spans="2:9">
      <c r="F64" s="449"/>
    </row>
    <row r="65" spans="6:6">
      <c r="F65" s="449"/>
    </row>
    <row r="66" spans="6:6">
      <c r="F66" s="449"/>
    </row>
    <row r="67" spans="6:6">
      <c r="F67" s="449"/>
    </row>
    <row r="68" spans="6:6">
      <c r="F68" s="449"/>
    </row>
    <row r="69" spans="6:6">
      <c r="F69" s="449"/>
    </row>
    <row r="70" spans="6:6">
      <c r="F70" s="449"/>
    </row>
    <row r="71" spans="6:6">
      <c r="F71" s="449"/>
    </row>
    <row r="72" spans="6:6">
      <c r="F72" s="449"/>
    </row>
    <row r="73" spans="6:6">
      <c r="F73" s="449"/>
    </row>
    <row r="74" spans="6:6">
      <c r="F74" s="449"/>
    </row>
    <row r="75" spans="6:6">
      <c r="F75" s="449"/>
    </row>
    <row r="76" spans="6:6">
      <c r="F76" s="449"/>
    </row>
    <row r="77" spans="6:6">
      <c r="F77" s="449"/>
    </row>
    <row r="78" spans="6:6">
      <c r="F78" s="449"/>
    </row>
    <row r="79" spans="6:6">
      <c r="F79" s="449"/>
    </row>
    <row r="80" spans="6:6">
      <c r="F80" s="449"/>
    </row>
    <row r="81" spans="6:6">
      <c r="F81" s="449"/>
    </row>
    <row r="82" spans="6:6">
      <c r="F82" s="449"/>
    </row>
    <row r="83" spans="6:6">
      <c r="F83" s="449"/>
    </row>
    <row r="84" spans="6:6">
      <c r="F84" s="449"/>
    </row>
    <row r="85" spans="6:6">
      <c r="F85" s="449"/>
    </row>
    <row r="86" spans="6:6">
      <c r="F86" s="449"/>
    </row>
    <row r="87" spans="6:6">
      <c r="F87" s="449"/>
    </row>
    <row r="88" spans="6:6">
      <c r="F88" s="449"/>
    </row>
    <row r="89" spans="6:6">
      <c r="F89" s="449"/>
    </row>
    <row r="90" spans="6:6">
      <c r="F90" s="449"/>
    </row>
    <row r="91" spans="6:6">
      <c r="F91" s="449"/>
    </row>
    <row r="92" spans="6:6">
      <c r="F92" s="449"/>
    </row>
    <row r="93" spans="6:6">
      <c r="F93" s="449"/>
    </row>
    <row r="94" spans="6:6">
      <c r="F94" s="449"/>
    </row>
    <row r="95" spans="6:6">
      <c r="F95" s="449"/>
    </row>
    <row r="96" spans="6:6">
      <c r="F96" s="449"/>
    </row>
    <row r="97" spans="6:6">
      <c r="F97" s="449"/>
    </row>
    <row r="98" spans="6:6">
      <c r="F98" s="449"/>
    </row>
    <row r="99" spans="6:6">
      <c r="F99" s="449"/>
    </row>
    <row r="100" spans="6:6">
      <c r="F100" s="449"/>
    </row>
    <row r="101" spans="6:6">
      <c r="F101" s="449"/>
    </row>
    <row r="102" spans="6:6">
      <c r="F102" s="449"/>
    </row>
    <row r="103" spans="6:6">
      <c r="F103" s="449"/>
    </row>
    <row r="104" spans="6:6">
      <c r="F104" s="449"/>
    </row>
    <row r="105" spans="6:6">
      <c r="F105" s="449"/>
    </row>
    <row r="106" spans="6:6">
      <c r="F106" s="449"/>
    </row>
    <row r="107" spans="6:6">
      <c r="F107" s="449"/>
    </row>
    <row r="108" spans="6:6">
      <c r="F108" s="449"/>
    </row>
    <row r="109" spans="6:6">
      <c r="F109" s="449"/>
    </row>
    <row r="110" spans="6:6">
      <c r="F110" s="449"/>
    </row>
    <row r="111" spans="6:6">
      <c r="F111" s="449"/>
    </row>
    <row r="112" spans="6:6">
      <c r="F112" s="449"/>
    </row>
    <row r="113" spans="6:6">
      <c r="F113" s="449"/>
    </row>
    <row r="114" spans="6:6">
      <c r="F114" s="449"/>
    </row>
    <row r="115" spans="6:6">
      <c r="F115" s="449"/>
    </row>
    <row r="116" spans="6:6">
      <c r="F116" s="449"/>
    </row>
    <row r="117" spans="6:6">
      <c r="F117" s="449"/>
    </row>
    <row r="118" spans="6:6">
      <c r="F118" s="449"/>
    </row>
    <row r="119" spans="6:6">
      <c r="F119" s="449"/>
    </row>
    <row r="120" spans="6:6">
      <c r="F120" s="449"/>
    </row>
    <row r="121" spans="6:6">
      <c r="F121" s="449"/>
    </row>
    <row r="122" spans="6:6">
      <c r="F122" s="449"/>
    </row>
    <row r="123" spans="6:6">
      <c r="F123" s="449"/>
    </row>
    <row r="124" spans="6:6">
      <c r="F124" s="449"/>
    </row>
    <row r="125" spans="6:6">
      <c r="F125" s="449"/>
    </row>
    <row r="126" spans="6:6">
      <c r="F126" s="449"/>
    </row>
    <row r="127" spans="6:6">
      <c r="F127" s="449"/>
    </row>
    <row r="128" spans="6:6">
      <c r="F128" s="449"/>
    </row>
    <row r="129" spans="6:6">
      <c r="F129" s="449"/>
    </row>
    <row r="130" spans="6:6">
      <c r="F130" s="449"/>
    </row>
    <row r="131" spans="6:6">
      <c r="F131" s="449"/>
    </row>
    <row r="132" spans="6:6">
      <c r="F132" s="449"/>
    </row>
    <row r="133" spans="6:6">
      <c r="F133" s="449"/>
    </row>
    <row r="134" spans="6:6">
      <c r="F134" s="449"/>
    </row>
    <row r="135" spans="6:6">
      <c r="F135" s="449"/>
    </row>
    <row r="136" spans="6:6">
      <c r="F136" s="449"/>
    </row>
    <row r="137" spans="6:6">
      <c r="F137" s="449"/>
    </row>
    <row r="138" spans="6:6">
      <c r="F138" s="449"/>
    </row>
    <row r="139" spans="6:6">
      <c r="F139" s="449"/>
    </row>
    <row r="140" spans="6:6">
      <c r="F140" s="449"/>
    </row>
    <row r="141" spans="6:6">
      <c r="F141" s="449"/>
    </row>
    <row r="142" spans="6:6">
      <c r="F142" s="449"/>
    </row>
    <row r="143" spans="6:6">
      <c r="F143" s="449"/>
    </row>
    <row r="144" spans="6:6">
      <c r="F144" s="449"/>
    </row>
    <row r="145" spans="6:6">
      <c r="F145" s="449"/>
    </row>
    <row r="146" spans="6:6">
      <c r="F146" s="449"/>
    </row>
    <row r="147" spans="6:6">
      <c r="F147" s="449"/>
    </row>
    <row r="148" spans="6:6">
      <c r="F148" s="449"/>
    </row>
    <row r="149" spans="6:6">
      <c r="F149" s="449"/>
    </row>
    <row r="150" spans="6:6">
      <c r="F150" s="449"/>
    </row>
    <row r="151" spans="6:6">
      <c r="F151" s="449"/>
    </row>
    <row r="152" spans="6:6">
      <c r="F152" s="449"/>
    </row>
    <row r="153" spans="6:6">
      <c r="F153" s="449"/>
    </row>
    <row r="154" spans="6:6">
      <c r="F154" s="449"/>
    </row>
    <row r="155" spans="6:6">
      <c r="F155" s="449"/>
    </row>
    <row r="156" spans="6:6">
      <c r="F156" s="449"/>
    </row>
    <row r="157" spans="6:6">
      <c r="F157" s="449"/>
    </row>
    <row r="158" spans="6:6">
      <c r="F158" s="449"/>
    </row>
    <row r="159" spans="6:6">
      <c r="F159" s="449"/>
    </row>
    <row r="160" spans="6:6">
      <c r="F160" s="449"/>
    </row>
    <row r="161" spans="6:6">
      <c r="F161" s="449"/>
    </row>
    <row r="162" spans="6:6">
      <c r="F162" s="449"/>
    </row>
  </sheetData>
  <mergeCells count="2">
    <mergeCell ref="C2:D2"/>
    <mergeCell ref="C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38"/>
  <sheetViews>
    <sheetView zoomScaleNormal="100" workbookViewId="0">
      <pane ySplit="6" topLeftCell="A108" activePane="bottomLeft" state="frozen"/>
      <selection pane="bottomLeft" activeCell="F134" sqref="F134"/>
    </sheetView>
  </sheetViews>
  <sheetFormatPr defaultRowHeight="15"/>
  <cols>
    <col min="1" max="1" width="4.5703125" customWidth="1"/>
    <col min="2" max="2" width="3.85546875" customWidth="1"/>
    <col min="3" max="3" width="3.7109375" bestFit="1" customWidth="1"/>
    <col min="5" max="9" width="12.7109375" customWidth="1"/>
    <col min="10" max="21" width="9.140625" hidden="1" customWidth="1"/>
  </cols>
  <sheetData>
    <row r="1" spans="1:21" ht="15.75" thickBot="1"/>
    <row r="2" spans="1:21" ht="15.75" thickBot="1">
      <c r="D2" s="547" t="s">
        <v>20</v>
      </c>
      <c r="E2" s="892" t="s">
        <v>283</v>
      </c>
      <c r="F2" s="893"/>
      <c r="G2" s="894"/>
    </row>
    <row r="3" spans="1:21" ht="15.75" thickBot="1"/>
    <row r="4" spans="1:21">
      <c r="E4" s="876" t="s">
        <v>236</v>
      </c>
      <c r="F4" s="877"/>
      <c r="G4" s="877"/>
      <c r="H4" s="877"/>
      <c r="I4" s="878"/>
      <c r="J4" s="876" t="s">
        <v>236</v>
      </c>
      <c r="K4" s="877"/>
      <c r="L4" s="877"/>
      <c r="M4" s="877"/>
      <c r="N4" s="878"/>
      <c r="O4" s="879" t="s">
        <v>237</v>
      </c>
      <c r="P4" s="880"/>
      <c r="Q4" s="880"/>
      <c r="R4" s="880"/>
      <c r="S4" s="880"/>
      <c r="T4" s="880"/>
      <c r="U4" s="568" t="s">
        <v>238</v>
      </c>
    </row>
    <row r="5" spans="1:21">
      <c r="E5" s="559" t="s">
        <v>173</v>
      </c>
      <c r="F5" s="548" t="s">
        <v>195</v>
      </c>
      <c r="G5" s="548" t="s">
        <v>196</v>
      </c>
      <c r="H5" s="548" t="s">
        <v>197</v>
      </c>
      <c r="I5" s="560"/>
      <c r="J5" s="559" t="s">
        <v>173</v>
      </c>
      <c r="K5" s="548" t="s">
        <v>195</v>
      </c>
      <c r="L5" s="548" t="s">
        <v>196</v>
      </c>
      <c r="M5" s="548" t="s">
        <v>197</v>
      </c>
      <c r="N5" s="560"/>
      <c r="O5" s="569" t="s">
        <v>173</v>
      </c>
      <c r="P5" s="549" t="s">
        <v>195</v>
      </c>
      <c r="Q5" s="549" t="s">
        <v>196</v>
      </c>
      <c r="R5" s="549" t="s">
        <v>197</v>
      </c>
      <c r="S5" s="549" t="s">
        <v>198</v>
      </c>
      <c r="T5" s="550"/>
      <c r="U5" s="570"/>
    </row>
    <row r="6" spans="1:21">
      <c r="A6" s="551"/>
      <c r="B6" s="551"/>
      <c r="C6" s="551"/>
      <c r="D6" s="552"/>
      <c r="E6" s="561">
        <f>'W1 Forecast'!J14</f>
        <v>44227</v>
      </c>
      <c r="F6" s="553">
        <f>E6+7</f>
        <v>44234</v>
      </c>
      <c r="G6" s="553">
        <f t="shared" ref="G6:H6" si="0">F6+7</f>
        <v>44241</v>
      </c>
      <c r="H6" s="553">
        <f t="shared" si="0"/>
        <v>44248</v>
      </c>
      <c r="I6" s="562" t="s">
        <v>2</v>
      </c>
      <c r="J6" s="561">
        <v>42407</v>
      </c>
      <c r="K6" s="553">
        <v>42414</v>
      </c>
      <c r="L6" s="553">
        <v>42421</v>
      </c>
      <c r="M6" s="553">
        <v>42428</v>
      </c>
      <c r="N6" s="562" t="s">
        <v>2</v>
      </c>
      <c r="O6" s="561">
        <v>42435</v>
      </c>
      <c r="P6" s="553">
        <v>42442</v>
      </c>
      <c r="Q6" s="553">
        <v>42449</v>
      </c>
      <c r="R6" s="553">
        <v>42456</v>
      </c>
      <c r="S6" s="553">
        <v>42463</v>
      </c>
      <c r="T6" s="553" t="s">
        <v>2</v>
      </c>
      <c r="U6" s="562" t="s">
        <v>2</v>
      </c>
    </row>
    <row r="7" spans="1:21" ht="15.75" thickBot="1">
      <c r="D7" s="547" t="s">
        <v>239</v>
      </c>
      <c r="E7" s="628">
        <f>'W1 Forecast'!I15</f>
        <v>73900</v>
      </c>
      <c r="F7" s="596">
        <f>'W2 Forecast'!I15</f>
        <v>70900</v>
      </c>
      <c r="G7" s="596">
        <f>'W3 Forecast'!I15</f>
        <v>99600</v>
      </c>
      <c r="H7" s="596">
        <f>'W4 Forecast '!I15</f>
        <v>74100</v>
      </c>
      <c r="I7" s="593">
        <f>SUM(E7:H7)</f>
        <v>318500</v>
      </c>
      <c r="J7" s="571"/>
      <c r="K7" s="572"/>
      <c r="L7" s="572"/>
      <c r="M7" s="572"/>
      <c r="N7" s="593">
        <f>SUM(J7:M7)</f>
        <v>0</v>
      </c>
      <c r="O7" s="571"/>
      <c r="P7" s="572"/>
      <c r="Q7" s="572"/>
      <c r="R7" s="572"/>
      <c r="S7" s="572"/>
      <c r="T7" s="595">
        <f>SUM(O7:S7)</f>
        <v>0</v>
      </c>
      <c r="U7" s="593">
        <f>T7+N7+I7</f>
        <v>318500</v>
      </c>
    </row>
    <row r="8" spans="1:21">
      <c r="C8" s="898" t="s">
        <v>240</v>
      </c>
      <c r="D8" s="573" t="s">
        <v>29</v>
      </c>
      <c r="E8" s="574">
        <v>50781.78</v>
      </c>
      <c r="F8" s="575">
        <v>44769.16</v>
      </c>
      <c r="G8" s="575"/>
      <c r="H8" s="575"/>
      <c r="I8" s="602">
        <f t="shared" ref="I8:I13" si="1">SUM(E8:H8)</f>
        <v>95550.94</v>
      </c>
      <c r="J8" s="574"/>
      <c r="K8" s="575"/>
      <c r="L8" s="575"/>
      <c r="M8" s="575"/>
      <c r="N8" s="602">
        <f t="shared" ref="N8:N13" si="2">SUM(J8:M8)</f>
        <v>0</v>
      </c>
      <c r="O8" s="574"/>
      <c r="P8" s="575"/>
      <c r="Q8" s="575"/>
      <c r="R8" s="575"/>
      <c r="S8" s="575"/>
      <c r="T8" s="617">
        <f t="shared" ref="T8:T13" si="3">SUM(O8:S8)</f>
        <v>0</v>
      </c>
      <c r="U8" s="598">
        <v>0</v>
      </c>
    </row>
    <row r="9" spans="1:21">
      <c r="C9" s="899"/>
      <c r="D9" s="556" t="s">
        <v>24</v>
      </c>
      <c r="E9" s="563">
        <v>11482.5</v>
      </c>
      <c r="F9" s="554">
        <v>10087.700000000001</v>
      </c>
      <c r="G9" s="554"/>
      <c r="H9" s="554"/>
      <c r="I9" s="590">
        <f t="shared" si="1"/>
        <v>21570.2</v>
      </c>
      <c r="J9" s="563"/>
      <c r="K9" s="554"/>
      <c r="L9" s="554"/>
      <c r="M9" s="554"/>
      <c r="N9" s="590">
        <f t="shared" si="2"/>
        <v>0</v>
      </c>
      <c r="O9" s="563"/>
      <c r="P9" s="554"/>
      <c r="Q9" s="554"/>
      <c r="R9" s="554"/>
      <c r="S9" s="554"/>
      <c r="T9" s="596">
        <f t="shared" si="3"/>
        <v>0</v>
      </c>
      <c r="U9" s="592">
        <v>0</v>
      </c>
    </row>
    <row r="10" spans="1:21">
      <c r="C10" s="899"/>
      <c r="D10" s="556" t="s">
        <v>25</v>
      </c>
      <c r="E10" s="563">
        <v>2213.2600000000002</v>
      </c>
      <c r="F10" s="554">
        <v>1645.01</v>
      </c>
      <c r="G10" s="554"/>
      <c r="H10" s="554"/>
      <c r="I10" s="590">
        <f t="shared" si="1"/>
        <v>3858.2700000000004</v>
      </c>
      <c r="J10" s="563"/>
      <c r="K10" s="554"/>
      <c r="L10" s="554"/>
      <c r="M10" s="554"/>
      <c r="N10" s="590">
        <f t="shared" si="2"/>
        <v>0</v>
      </c>
      <c r="O10" s="563"/>
      <c r="P10" s="554"/>
      <c r="Q10" s="554"/>
      <c r="R10" s="554"/>
      <c r="S10" s="554"/>
      <c r="T10" s="596">
        <f t="shared" si="3"/>
        <v>0</v>
      </c>
      <c r="U10" s="592">
        <v>0</v>
      </c>
    </row>
    <row r="11" spans="1:21">
      <c r="C11" s="899"/>
      <c r="D11" s="556" t="s">
        <v>26</v>
      </c>
      <c r="E11" s="563">
        <v>10684.52</v>
      </c>
      <c r="F11" s="554">
        <v>5957</v>
      </c>
      <c r="G11" s="554"/>
      <c r="H11" s="554"/>
      <c r="I11" s="590">
        <f t="shared" si="1"/>
        <v>16641.52</v>
      </c>
      <c r="J11" s="563"/>
      <c r="K11" s="554"/>
      <c r="L11" s="554"/>
      <c r="M11" s="554"/>
      <c r="N11" s="590">
        <f t="shared" si="2"/>
        <v>0</v>
      </c>
      <c r="O11" s="563"/>
      <c r="P11" s="554"/>
      <c r="Q11" s="554"/>
      <c r="R11" s="554"/>
      <c r="S11" s="554"/>
      <c r="T11" s="596">
        <f t="shared" si="3"/>
        <v>0</v>
      </c>
      <c r="U11" s="592">
        <v>0</v>
      </c>
    </row>
    <row r="12" spans="1:21">
      <c r="C12" s="899"/>
      <c r="D12" s="556" t="s">
        <v>85</v>
      </c>
      <c r="E12" s="563">
        <v>1076.6500000000001</v>
      </c>
      <c r="F12" s="554">
        <v>842.3</v>
      </c>
      <c r="G12" s="554"/>
      <c r="H12" s="554"/>
      <c r="I12" s="590">
        <f t="shared" si="1"/>
        <v>1918.95</v>
      </c>
      <c r="J12" s="563"/>
      <c r="K12" s="554"/>
      <c r="L12" s="554"/>
      <c r="M12" s="554"/>
      <c r="N12" s="590">
        <f t="shared" si="2"/>
        <v>0</v>
      </c>
      <c r="O12" s="563"/>
      <c r="P12" s="554"/>
      <c r="Q12" s="554"/>
      <c r="R12" s="554"/>
      <c r="S12" s="554"/>
      <c r="T12" s="596">
        <f t="shared" si="3"/>
        <v>0</v>
      </c>
      <c r="U12" s="592">
        <v>0</v>
      </c>
    </row>
    <row r="13" spans="1:21" ht="15.75" thickBot="1">
      <c r="C13" s="899"/>
      <c r="D13" s="556" t="s">
        <v>241</v>
      </c>
      <c r="E13" s="600">
        <v>50</v>
      </c>
      <c r="F13" s="601">
        <v>100</v>
      </c>
      <c r="G13" s="601"/>
      <c r="H13" s="601"/>
      <c r="I13" s="590">
        <f t="shared" si="1"/>
        <v>150</v>
      </c>
      <c r="J13" s="600"/>
      <c r="K13" s="601"/>
      <c r="L13" s="601"/>
      <c r="M13" s="601"/>
      <c r="N13" s="590">
        <f t="shared" si="2"/>
        <v>0</v>
      </c>
      <c r="O13" s="600"/>
      <c r="P13" s="601"/>
      <c r="Q13" s="601"/>
      <c r="R13" s="601"/>
      <c r="S13" s="601"/>
      <c r="T13" s="596">
        <f t="shared" si="3"/>
        <v>0</v>
      </c>
      <c r="U13" s="602">
        <v>0</v>
      </c>
    </row>
    <row r="14" spans="1:21" ht="15.75" thickBot="1">
      <c r="C14" s="900"/>
      <c r="D14" s="576" t="s">
        <v>0</v>
      </c>
      <c r="E14" s="603">
        <f>SUM(E8:E13)</f>
        <v>76288.709999999992</v>
      </c>
      <c r="F14" s="605">
        <f t="shared" ref="F14:H14" si="4">SUM(F8:F13)</f>
        <v>63401.170000000006</v>
      </c>
      <c r="G14" s="605">
        <f t="shared" si="4"/>
        <v>0</v>
      </c>
      <c r="H14" s="632">
        <f t="shared" si="4"/>
        <v>0</v>
      </c>
      <c r="I14" s="604">
        <f t="shared" ref="I14" si="5">SUM(I8:I13)</f>
        <v>139689.88</v>
      </c>
      <c r="J14" s="633">
        <f t="shared" ref="J14" si="6">SUM(J8:J13)</f>
        <v>0</v>
      </c>
      <c r="K14" s="605">
        <f t="shared" ref="K14" si="7">SUM(K8:K13)</f>
        <v>0</v>
      </c>
      <c r="L14" s="605">
        <f t="shared" ref="L14" si="8">SUM(L8:L13)</f>
        <v>0</v>
      </c>
      <c r="M14" s="605">
        <f t="shared" ref="M14" si="9">SUM(M8:M13)</f>
        <v>0</v>
      </c>
      <c r="N14" s="605">
        <f t="shared" ref="N14" si="10">SUM(N8:N13)</f>
        <v>0</v>
      </c>
      <c r="O14" s="605">
        <f t="shared" ref="O14" si="11">SUM(O8:O13)</f>
        <v>0</v>
      </c>
      <c r="P14" s="605">
        <f t="shared" ref="P14" si="12">SUM(P8:P13)</f>
        <v>0</v>
      </c>
      <c r="Q14" s="605">
        <f t="shared" ref="Q14" si="13">SUM(Q8:Q13)</f>
        <v>0</v>
      </c>
      <c r="R14" s="605">
        <f t="shared" ref="R14" si="14">SUM(R8:R13)</f>
        <v>0</v>
      </c>
      <c r="S14" s="605">
        <f t="shared" ref="S14" si="15">SUM(S8:S13)</f>
        <v>0</v>
      </c>
      <c r="T14" s="605">
        <f t="shared" ref="T14" si="16">SUM(T8:T13)</f>
        <v>0</v>
      </c>
      <c r="U14" s="606">
        <f t="shared" ref="U14" si="17">SUM(U8:U13)</f>
        <v>0</v>
      </c>
    </row>
    <row r="15" spans="1:21" ht="15.75" thickBot="1">
      <c r="B15" s="546" t="s">
        <v>242</v>
      </c>
      <c r="E15" s="564"/>
      <c r="F15" s="546"/>
      <c r="G15" s="546"/>
      <c r="H15" s="546"/>
      <c r="I15" s="560"/>
      <c r="J15" s="564"/>
      <c r="K15" s="546"/>
      <c r="L15" s="546"/>
      <c r="M15" s="546"/>
      <c r="N15" s="560"/>
      <c r="O15" s="564"/>
      <c r="P15" s="546"/>
      <c r="Q15" s="546"/>
      <c r="R15" s="546"/>
      <c r="S15" s="546"/>
      <c r="T15" s="546"/>
      <c r="U15" s="560"/>
    </row>
    <row r="16" spans="1:21" ht="15" customHeight="1">
      <c r="C16" s="898" t="s">
        <v>243</v>
      </c>
      <c r="D16" s="579" t="s">
        <v>244</v>
      </c>
      <c r="E16" s="779"/>
      <c r="F16" s="780"/>
      <c r="G16" s="780"/>
      <c r="H16" s="780"/>
      <c r="I16" s="781">
        <f>SUM(E16:H16)</f>
        <v>0</v>
      </c>
      <c r="J16" s="574"/>
      <c r="K16" s="575"/>
      <c r="L16" s="575"/>
      <c r="M16" s="575"/>
      <c r="N16" s="591">
        <f>SUM(J16:M16)</f>
        <v>0</v>
      </c>
      <c r="O16" s="608"/>
      <c r="P16" s="575"/>
      <c r="Q16" s="575"/>
      <c r="R16" s="575"/>
      <c r="S16" s="575"/>
      <c r="T16" s="615">
        <f>SUM(O16:S16)</f>
        <v>0</v>
      </c>
      <c r="U16" s="591">
        <f>T16+N16+I16</f>
        <v>0</v>
      </c>
    </row>
    <row r="17" spans="3:21">
      <c r="C17" s="899"/>
      <c r="D17" s="557" t="s">
        <v>245</v>
      </c>
      <c r="E17" s="782">
        <v>172</v>
      </c>
      <c r="F17" s="783">
        <v>84</v>
      </c>
      <c r="G17" s="783"/>
      <c r="H17" s="783"/>
      <c r="I17" s="784">
        <f t="shared" ref="I17:I32" si="18">SUM(E17:H17)</f>
        <v>256</v>
      </c>
      <c r="J17" s="563"/>
      <c r="K17" s="554"/>
      <c r="L17" s="554"/>
      <c r="M17" s="554"/>
      <c r="N17" s="592">
        <f t="shared" ref="N17:N32" si="19">SUM(J17:M17)</f>
        <v>0</v>
      </c>
      <c r="O17" s="609"/>
      <c r="P17" s="554"/>
      <c r="Q17" s="554"/>
      <c r="R17" s="554"/>
      <c r="S17" s="554"/>
      <c r="T17" s="597">
        <f t="shared" ref="T17:T32" si="20">SUM(O17:S17)</f>
        <v>0</v>
      </c>
      <c r="U17" s="592">
        <f t="shared" ref="U17:U32" si="21">T17+N17+I17</f>
        <v>256</v>
      </c>
    </row>
    <row r="18" spans="3:21">
      <c r="C18" s="899"/>
      <c r="D18" s="557" t="s">
        <v>246</v>
      </c>
      <c r="E18" s="782">
        <f>20.25+11+36</f>
        <v>67.25</v>
      </c>
      <c r="F18" s="783">
        <f>65+55</f>
        <v>120</v>
      </c>
      <c r="G18" s="783"/>
      <c r="H18" s="783"/>
      <c r="I18" s="784">
        <f t="shared" si="18"/>
        <v>187.25</v>
      </c>
      <c r="J18" s="563"/>
      <c r="K18" s="554"/>
      <c r="L18" s="554"/>
      <c r="M18" s="554"/>
      <c r="N18" s="592">
        <f t="shared" si="19"/>
        <v>0</v>
      </c>
      <c r="O18" s="609"/>
      <c r="P18" s="554"/>
      <c r="Q18" s="554"/>
      <c r="R18" s="554"/>
      <c r="S18" s="554"/>
      <c r="T18" s="597">
        <f t="shared" si="20"/>
        <v>0</v>
      </c>
      <c r="U18" s="592">
        <f t="shared" si="21"/>
        <v>187.25</v>
      </c>
    </row>
    <row r="19" spans="3:21">
      <c r="C19" s="899"/>
      <c r="D19" s="557" t="s">
        <v>247</v>
      </c>
      <c r="E19" s="782">
        <v>183.5</v>
      </c>
      <c r="F19" s="783">
        <v>122.25</v>
      </c>
      <c r="G19" s="783"/>
      <c r="H19" s="783"/>
      <c r="I19" s="784">
        <f t="shared" si="18"/>
        <v>305.75</v>
      </c>
      <c r="J19" s="563"/>
      <c r="K19" s="554"/>
      <c r="L19" s="554"/>
      <c r="M19" s="554"/>
      <c r="N19" s="592">
        <f t="shared" si="19"/>
        <v>0</v>
      </c>
      <c r="O19" s="609"/>
      <c r="P19" s="554"/>
      <c r="Q19" s="554"/>
      <c r="R19" s="554"/>
      <c r="S19" s="554"/>
      <c r="T19" s="597">
        <f t="shared" si="20"/>
        <v>0</v>
      </c>
      <c r="U19" s="592">
        <f t="shared" si="21"/>
        <v>305.75</v>
      </c>
    </row>
    <row r="20" spans="3:21">
      <c r="C20" s="899"/>
      <c r="D20" s="557" t="s">
        <v>248</v>
      </c>
      <c r="E20" s="782">
        <v>348</v>
      </c>
      <c r="F20" s="783">
        <v>379.5</v>
      </c>
      <c r="G20" s="783"/>
      <c r="H20" s="783"/>
      <c r="I20" s="784">
        <f t="shared" si="18"/>
        <v>727.5</v>
      </c>
      <c r="J20" s="563"/>
      <c r="K20" s="554"/>
      <c r="L20" s="554"/>
      <c r="M20" s="554"/>
      <c r="N20" s="592">
        <f t="shared" si="19"/>
        <v>0</v>
      </c>
      <c r="O20" s="609"/>
      <c r="P20" s="554"/>
      <c r="Q20" s="554"/>
      <c r="R20" s="554"/>
      <c r="S20" s="554"/>
      <c r="T20" s="597">
        <f t="shared" si="20"/>
        <v>0</v>
      </c>
      <c r="U20" s="592">
        <f t="shared" si="21"/>
        <v>727.5</v>
      </c>
    </row>
    <row r="21" spans="3:21">
      <c r="C21" s="899"/>
      <c r="D21" s="557" t="s">
        <v>249</v>
      </c>
      <c r="E21" s="782">
        <v>239.25</v>
      </c>
      <c r="F21" s="783">
        <v>128</v>
      </c>
      <c r="G21" s="783"/>
      <c r="H21" s="783"/>
      <c r="I21" s="784">
        <f t="shared" si="18"/>
        <v>367.25</v>
      </c>
      <c r="J21" s="563"/>
      <c r="K21" s="554"/>
      <c r="L21" s="554"/>
      <c r="M21" s="554"/>
      <c r="N21" s="592">
        <f t="shared" si="19"/>
        <v>0</v>
      </c>
      <c r="O21" s="609"/>
      <c r="P21" s="554"/>
      <c r="Q21" s="554"/>
      <c r="R21" s="554"/>
      <c r="S21" s="554"/>
      <c r="T21" s="597">
        <f t="shared" si="20"/>
        <v>0</v>
      </c>
      <c r="U21" s="592">
        <f t="shared" si="21"/>
        <v>367.25</v>
      </c>
    </row>
    <row r="22" spans="3:21">
      <c r="C22" s="899"/>
      <c r="D22" s="557" t="s">
        <v>250</v>
      </c>
      <c r="E22" s="782"/>
      <c r="F22" s="783"/>
      <c r="G22" s="783"/>
      <c r="H22" s="783"/>
      <c r="I22" s="784">
        <f t="shared" si="18"/>
        <v>0</v>
      </c>
      <c r="J22" s="563"/>
      <c r="K22" s="554"/>
      <c r="L22" s="554"/>
      <c r="M22" s="554"/>
      <c r="N22" s="592">
        <f t="shared" si="19"/>
        <v>0</v>
      </c>
      <c r="O22" s="609"/>
      <c r="P22" s="554"/>
      <c r="Q22" s="554"/>
      <c r="R22" s="554"/>
      <c r="S22" s="554"/>
      <c r="T22" s="597">
        <f t="shared" si="20"/>
        <v>0</v>
      </c>
      <c r="U22" s="592">
        <f t="shared" si="21"/>
        <v>0</v>
      </c>
    </row>
    <row r="23" spans="3:21">
      <c r="C23" s="899"/>
      <c r="D23" s="557" t="s">
        <v>251</v>
      </c>
      <c r="E23" s="782"/>
      <c r="F23" s="783"/>
      <c r="G23" s="783"/>
      <c r="H23" s="783"/>
      <c r="I23" s="784">
        <f t="shared" si="18"/>
        <v>0</v>
      </c>
      <c r="J23" s="563"/>
      <c r="K23" s="554"/>
      <c r="L23" s="554"/>
      <c r="M23" s="554"/>
      <c r="N23" s="592">
        <f t="shared" si="19"/>
        <v>0</v>
      </c>
      <c r="O23" s="609"/>
      <c r="P23" s="554"/>
      <c r="Q23" s="554"/>
      <c r="R23" s="554"/>
      <c r="S23" s="554"/>
      <c r="T23" s="597">
        <f t="shared" si="20"/>
        <v>0</v>
      </c>
      <c r="U23" s="592">
        <f t="shared" si="21"/>
        <v>0</v>
      </c>
    </row>
    <row r="24" spans="3:21">
      <c r="C24" s="899"/>
      <c r="D24" s="557" t="s">
        <v>252</v>
      </c>
      <c r="E24" s="782">
        <v>153</v>
      </c>
      <c r="F24" s="783">
        <f>96</f>
        <v>96</v>
      </c>
      <c r="G24" s="783"/>
      <c r="H24" s="783"/>
      <c r="I24" s="784">
        <f t="shared" si="18"/>
        <v>249</v>
      </c>
      <c r="J24" s="563"/>
      <c r="K24" s="554"/>
      <c r="L24" s="554"/>
      <c r="M24" s="554"/>
      <c r="N24" s="592">
        <f t="shared" si="19"/>
        <v>0</v>
      </c>
      <c r="O24" s="609"/>
      <c r="P24" s="554"/>
      <c r="Q24" s="554"/>
      <c r="R24" s="554"/>
      <c r="S24" s="554"/>
      <c r="T24" s="597">
        <f t="shared" si="20"/>
        <v>0</v>
      </c>
      <c r="U24" s="592">
        <f t="shared" si="21"/>
        <v>249</v>
      </c>
    </row>
    <row r="25" spans="3:21">
      <c r="C25" s="899"/>
      <c r="D25" s="557" t="s">
        <v>205</v>
      </c>
      <c r="E25" s="782"/>
      <c r="F25" s="783"/>
      <c r="G25" s="783"/>
      <c r="H25" s="783"/>
      <c r="I25" s="784">
        <f t="shared" si="18"/>
        <v>0</v>
      </c>
      <c r="J25" s="563"/>
      <c r="K25" s="554"/>
      <c r="L25" s="554"/>
      <c r="M25" s="554"/>
      <c r="N25" s="592">
        <f t="shared" si="19"/>
        <v>0</v>
      </c>
      <c r="O25" s="609"/>
      <c r="P25" s="554"/>
      <c r="Q25" s="554"/>
      <c r="R25" s="554"/>
      <c r="S25" s="554"/>
      <c r="T25" s="597">
        <f t="shared" si="20"/>
        <v>0</v>
      </c>
      <c r="U25" s="592">
        <f t="shared" si="21"/>
        <v>0</v>
      </c>
    </row>
    <row r="26" spans="3:21">
      <c r="C26" s="899"/>
      <c r="D26" s="557" t="s">
        <v>253</v>
      </c>
      <c r="E26" s="782"/>
      <c r="F26" s="783"/>
      <c r="G26" s="783"/>
      <c r="H26" s="783"/>
      <c r="I26" s="784">
        <f t="shared" si="18"/>
        <v>0</v>
      </c>
      <c r="J26" s="563"/>
      <c r="K26" s="554"/>
      <c r="L26" s="554"/>
      <c r="M26" s="554"/>
      <c r="N26" s="592">
        <f t="shared" si="19"/>
        <v>0</v>
      </c>
      <c r="O26" s="609"/>
      <c r="P26" s="554"/>
      <c r="Q26" s="554"/>
      <c r="R26" s="554"/>
      <c r="S26" s="554"/>
      <c r="T26" s="597">
        <f t="shared" si="20"/>
        <v>0</v>
      </c>
      <c r="U26" s="592">
        <f t="shared" si="21"/>
        <v>0</v>
      </c>
    </row>
    <row r="27" spans="3:21">
      <c r="C27" s="899"/>
      <c r="D27" s="557" t="s">
        <v>254</v>
      </c>
      <c r="E27" s="782">
        <v>93</v>
      </c>
      <c r="F27" s="783">
        <v>74.5</v>
      </c>
      <c r="G27" s="783"/>
      <c r="H27" s="783"/>
      <c r="I27" s="784">
        <f t="shared" si="18"/>
        <v>167.5</v>
      </c>
      <c r="J27" s="563"/>
      <c r="K27" s="554"/>
      <c r="L27" s="554"/>
      <c r="M27" s="554"/>
      <c r="N27" s="592">
        <f t="shared" si="19"/>
        <v>0</v>
      </c>
      <c r="O27" s="609"/>
      <c r="P27" s="554"/>
      <c r="Q27" s="554"/>
      <c r="R27" s="554"/>
      <c r="S27" s="554"/>
      <c r="T27" s="597">
        <f t="shared" si="20"/>
        <v>0</v>
      </c>
      <c r="U27" s="592">
        <f t="shared" si="21"/>
        <v>167.5</v>
      </c>
    </row>
    <row r="28" spans="3:21">
      <c r="C28" s="899"/>
      <c r="D28" s="557" t="s">
        <v>255</v>
      </c>
      <c r="E28" s="782">
        <v>11</v>
      </c>
      <c r="F28" s="783"/>
      <c r="G28" s="783"/>
      <c r="H28" s="783"/>
      <c r="I28" s="784">
        <f t="shared" si="18"/>
        <v>11</v>
      </c>
      <c r="J28" s="563"/>
      <c r="K28" s="554"/>
      <c r="L28" s="554"/>
      <c r="M28" s="554"/>
      <c r="N28" s="592">
        <f t="shared" si="19"/>
        <v>0</v>
      </c>
      <c r="O28" s="609"/>
      <c r="P28" s="554"/>
      <c r="Q28" s="554"/>
      <c r="R28" s="554"/>
      <c r="S28" s="554"/>
      <c r="T28" s="597">
        <f t="shared" si="20"/>
        <v>0</v>
      </c>
      <c r="U28" s="592">
        <f t="shared" si="21"/>
        <v>11</v>
      </c>
    </row>
    <row r="29" spans="3:21">
      <c r="C29" s="899"/>
      <c r="D29" s="557" t="s">
        <v>256</v>
      </c>
      <c r="E29" s="782">
        <v>93</v>
      </c>
      <c r="F29" s="783">
        <v>100</v>
      </c>
      <c r="G29" s="783"/>
      <c r="H29" s="783"/>
      <c r="I29" s="784">
        <f t="shared" si="18"/>
        <v>193</v>
      </c>
      <c r="J29" s="563"/>
      <c r="K29" s="554"/>
      <c r="L29" s="554"/>
      <c r="M29" s="554"/>
      <c r="N29" s="592">
        <f t="shared" si="19"/>
        <v>0</v>
      </c>
      <c r="O29" s="609"/>
      <c r="P29" s="554"/>
      <c r="Q29" s="554"/>
      <c r="R29" s="554"/>
      <c r="S29" s="554"/>
      <c r="T29" s="597">
        <f t="shared" si="20"/>
        <v>0</v>
      </c>
      <c r="U29" s="592">
        <f t="shared" si="21"/>
        <v>193</v>
      </c>
    </row>
    <row r="30" spans="3:21">
      <c r="C30" s="899"/>
      <c r="D30" s="557" t="s">
        <v>257</v>
      </c>
      <c r="E30" s="782">
        <v>1295.82</v>
      </c>
      <c r="F30" s="783">
        <v>1626.54</v>
      </c>
      <c r="G30" s="783"/>
      <c r="H30" s="783"/>
      <c r="I30" s="784">
        <f t="shared" si="18"/>
        <v>2922.3599999999997</v>
      </c>
      <c r="J30" s="563"/>
      <c r="K30" s="554"/>
      <c r="L30" s="554"/>
      <c r="M30" s="554"/>
      <c r="N30" s="592">
        <f t="shared" si="19"/>
        <v>0</v>
      </c>
      <c r="O30" s="609"/>
      <c r="P30" s="554"/>
      <c r="Q30" s="554"/>
      <c r="R30" s="554"/>
      <c r="S30" s="554"/>
      <c r="T30" s="597">
        <f t="shared" si="20"/>
        <v>0</v>
      </c>
      <c r="U30" s="592">
        <f t="shared" si="21"/>
        <v>2922.3599999999997</v>
      </c>
    </row>
    <row r="31" spans="3:21">
      <c r="C31" s="899"/>
      <c r="D31" s="557" t="s">
        <v>258</v>
      </c>
      <c r="E31" s="782">
        <v>93.022999999999996</v>
      </c>
      <c r="F31" s="783">
        <v>702.9</v>
      </c>
      <c r="G31" s="783"/>
      <c r="H31" s="783"/>
      <c r="I31" s="784">
        <f t="shared" si="18"/>
        <v>795.923</v>
      </c>
      <c r="J31" s="563"/>
      <c r="K31" s="554"/>
      <c r="L31" s="554"/>
      <c r="M31" s="554"/>
      <c r="N31" s="592">
        <f t="shared" si="19"/>
        <v>0</v>
      </c>
      <c r="O31" s="609"/>
      <c r="P31" s="554"/>
      <c r="Q31" s="554"/>
      <c r="R31" s="554"/>
      <c r="S31" s="554"/>
      <c r="T31" s="597">
        <f t="shared" si="20"/>
        <v>0</v>
      </c>
      <c r="U31" s="592">
        <f t="shared" si="21"/>
        <v>795.923</v>
      </c>
    </row>
    <row r="32" spans="3:21" ht="15.75" thickBot="1">
      <c r="C32" s="900"/>
      <c r="D32" s="580" t="s">
        <v>259</v>
      </c>
      <c r="E32" s="785"/>
      <c r="F32" s="786"/>
      <c r="G32" s="786"/>
      <c r="H32" s="786"/>
      <c r="I32" s="787">
        <f t="shared" si="18"/>
        <v>0</v>
      </c>
      <c r="J32" s="616"/>
      <c r="K32" s="614"/>
      <c r="L32" s="614"/>
      <c r="M32" s="614"/>
      <c r="N32" s="611">
        <f t="shared" si="19"/>
        <v>0</v>
      </c>
      <c r="O32" s="610"/>
      <c r="P32" s="578"/>
      <c r="Q32" s="578"/>
      <c r="R32" s="578"/>
      <c r="S32" s="578"/>
      <c r="T32" s="607">
        <f t="shared" si="20"/>
        <v>0</v>
      </c>
      <c r="U32" s="593">
        <f t="shared" si="21"/>
        <v>0</v>
      </c>
    </row>
    <row r="33" spans="2:21" ht="15.75" thickBot="1">
      <c r="B33" s="546" t="s">
        <v>215</v>
      </c>
      <c r="E33" s="788"/>
      <c r="F33" s="789"/>
      <c r="G33" s="789"/>
      <c r="H33" s="789"/>
      <c r="I33" s="790"/>
      <c r="J33" s="564"/>
      <c r="K33" s="546"/>
      <c r="L33" s="546"/>
      <c r="M33" s="546"/>
      <c r="N33" s="560"/>
      <c r="O33" s="564"/>
      <c r="P33" s="546"/>
      <c r="Q33" s="546"/>
      <c r="R33" s="546"/>
      <c r="S33" s="546"/>
      <c r="T33" s="546"/>
      <c r="U33" s="560"/>
    </row>
    <row r="34" spans="2:21">
      <c r="B34" s="889" t="s">
        <v>260</v>
      </c>
      <c r="C34" s="887" t="s">
        <v>261</v>
      </c>
      <c r="D34" s="579" t="s">
        <v>262</v>
      </c>
      <c r="E34" s="779">
        <v>90.2</v>
      </c>
      <c r="F34" s="780">
        <v>80.8</v>
      </c>
      <c r="G34" s="780"/>
      <c r="H34" s="780"/>
      <c r="I34" s="781">
        <f>SUM(E34:H34)</f>
        <v>171</v>
      </c>
      <c r="J34" s="574"/>
      <c r="K34" s="575"/>
      <c r="L34" s="575"/>
      <c r="M34" s="575"/>
      <c r="N34" s="591">
        <f>SUM(J34:M34)</f>
        <v>0</v>
      </c>
      <c r="O34" s="574"/>
      <c r="P34" s="575"/>
      <c r="Q34" s="575"/>
      <c r="R34" s="575"/>
      <c r="S34" s="621"/>
      <c r="T34" s="626">
        <f>SUM(O34:S34)</f>
        <v>0</v>
      </c>
      <c r="U34" s="591">
        <f>T34+N34+I34</f>
        <v>171</v>
      </c>
    </row>
    <row r="35" spans="2:21">
      <c r="B35" s="890"/>
      <c r="C35" s="885"/>
      <c r="D35" s="557" t="s">
        <v>263</v>
      </c>
      <c r="E35" s="782">
        <v>1081.92</v>
      </c>
      <c r="F35" s="783">
        <v>969</v>
      </c>
      <c r="G35" s="783"/>
      <c r="H35" s="783"/>
      <c r="I35" s="784">
        <f t="shared" ref="I35:I93" si="22">SUM(E35:H35)</f>
        <v>2050.92</v>
      </c>
      <c r="J35" s="563"/>
      <c r="K35" s="554"/>
      <c r="L35" s="554"/>
      <c r="M35" s="554"/>
      <c r="N35" s="592">
        <f t="shared" ref="N35:N93" si="23">SUM(J35:M35)</f>
        <v>0</v>
      </c>
      <c r="O35" s="563"/>
      <c r="P35" s="554"/>
      <c r="Q35" s="554"/>
      <c r="R35" s="554"/>
      <c r="S35" s="622"/>
      <c r="T35" s="627">
        <f t="shared" ref="T35:T93" si="24">SUM(O35:S35)</f>
        <v>0</v>
      </c>
      <c r="U35" s="592">
        <f t="shared" ref="U35:U93" si="25">T35+N35+I35</f>
        <v>2050.92</v>
      </c>
    </row>
    <row r="36" spans="2:21">
      <c r="B36" s="890"/>
      <c r="C36" s="885"/>
      <c r="D36" s="557" t="s">
        <v>264</v>
      </c>
      <c r="E36" s="782"/>
      <c r="F36" s="783"/>
      <c r="G36" s="783"/>
      <c r="H36" s="783"/>
      <c r="I36" s="784">
        <f t="shared" si="22"/>
        <v>0</v>
      </c>
      <c r="J36" s="563"/>
      <c r="K36" s="554"/>
      <c r="L36" s="554"/>
      <c r="M36" s="554"/>
      <c r="N36" s="592">
        <f t="shared" si="23"/>
        <v>0</v>
      </c>
      <c r="O36" s="563"/>
      <c r="P36" s="554"/>
      <c r="Q36" s="554"/>
      <c r="R36" s="554"/>
      <c r="S36" s="622"/>
      <c r="T36" s="627">
        <f t="shared" si="24"/>
        <v>0</v>
      </c>
      <c r="U36" s="592">
        <f t="shared" si="25"/>
        <v>0</v>
      </c>
    </row>
    <row r="37" spans="2:21" ht="15.75" thickBot="1">
      <c r="B37" s="890"/>
      <c r="C37" s="886"/>
      <c r="D37" s="620" t="s">
        <v>265</v>
      </c>
      <c r="E37" s="791"/>
      <c r="F37" s="792"/>
      <c r="G37" s="792"/>
      <c r="H37" s="792"/>
      <c r="I37" s="793">
        <f t="shared" si="22"/>
        <v>0</v>
      </c>
      <c r="J37" s="600"/>
      <c r="K37" s="601"/>
      <c r="L37" s="601"/>
      <c r="M37" s="601"/>
      <c r="N37" s="590">
        <f t="shared" si="23"/>
        <v>0</v>
      </c>
      <c r="O37" s="600"/>
      <c r="P37" s="601"/>
      <c r="Q37" s="601"/>
      <c r="R37" s="601"/>
      <c r="S37" s="623"/>
      <c r="T37" s="628">
        <f t="shared" si="24"/>
        <v>0</v>
      </c>
      <c r="U37" s="590">
        <f t="shared" si="25"/>
        <v>0</v>
      </c>
    </row>
    <row r="38" spans="2:21">
      <c r="B38" s="890"/>
      <c r="C38" s="887" t="s">
        <v>266</v>
      </c>
      <c r="D38" s="579" t="s">
        <v>262</v>
      </c>
      <c r="E38" s="779">
        <v>281.2</v>
      </c>
      <c r="F38" s="780">
        <v>274.60000000000002</v>
      </c>
      <c r="G38" s="780"/>
      <c r="H38" s="780"/>
      <c r="I38" s="781">
        <f t="shared" si="22"/>
        <v>555.79999999999995</v>
      </c>
      <c r="J38" s="574"/>
      <c r="K38" s="575"/>
      <c r="L38" s="575"/>
      <c r="M38" s="575"/>
      <c r="N38" s="591">
        <f t="shared" si="23"/>
        <v>0</v>
      </c>
      <c r="O38" s="574"/>
      <c r="P38" s="575"/>
      <c r="Q38" s="575"/>
      <c r="R38" s="575"/>
      <c r="S38" s="621"/>
      <c r="T38" s="626">
        <f t="shared" si="24"/>
        <v>0</v>
      </c>
      <c r="U38" s="591">
        <f t="shared" si="25"/>
        <v>555.79999999999995</v>
      </c>
    </row>
    <row r="39" spans="2:21">
      <c r="B39" s="890"/>
      <c r="C39" s="885"/>
      <c r="D39" s="557" t="s">
        <v>263</v>
      </c>
      <c r="E39" s="782">
        <v>4201.6400000000003</v>
      </c>
      <c r="F39" s="783">
        <v>4123.95</v>
      </c>
      <c r="G39" s="783"/>
      <c r="H39" s="783"/>
      <c r="I39" s="784">
        <f t="shared" si="22"/>
        <v>8325.59</v>
      </c>
      <c r="J39" s="563"/>
      <c r="K39" s="554"/>
      <c r="L39" s="554"/>
      <c r="M39" s="554"/>
      <c r="N39" s="592">
        <f t="shared" si="23"/>
        <v>0</v>
      </c>
      <c r="O39" s="563"/>
      <c r="P39" s="554"/>
      <c r="Q39" s="554"/>
      <c r="R39" s="554"/>
      <c r="S39" s="622"/>
      <c r="T39" s="627">
        <f t="shared" si="24"/>
        <v>0</v>
      </c>
      <c r="U39" s="592">
        <f t="shared" si="25"/>
        <v>8325.59</v>
      </c>
    </row>
    <row r="40" spans="2:21">
      <c r="B40" s="890"/>
      <c r="C40" s="885"/>
      <c r="D40" s="557" t="s">
        <v>264</v>
      </c>
      <c r="E40" s="782">
        <v>6.9</v>
      </c>
      <c r="F40" s="783">
        <v>4.5999999999999996</v>
      </c>
      <c r="G40" s="783"/>
      <c r="H40" s="783"/>
      <c r="I40" s="784">
        <f t="shared" si="22"/>
        <v>11.5</v>
      </c>
      <c r="J40" s="563"/>
      <c r="K40" s="554"/>
      <c r="L40" s="554"/>
      <c r="M40" s="554"/>
      <c r="N40" s="592">
        <f t="shared" si="23"/>
        <v>0</v>
      </c>
      <c r="O40" s="563"/>
      <c r="P40" s="554"/>
      <c r="Q40" s="554"/>
      <c r="R40" s="554"/>
      <c r="S40" s="622"/>
      <c r="T40" s="627">
        <f t="shared" si="24"/>
        <v>0</v>
      </c>
      <c r="U40" s="592">
        <f t="shared" si="25"/>
        <v>11.5</v>
      </c>
    </row>
    <row r="41" spans="2:21" ht="15.75" thickBot="1">
      <c r="B41" s="890"/>
      <c r="C41" s="888"/>
      <c r="D41" s="580" t="s">
        <v>265</v>
      </c>
      <c r="E41" s="785">
        <v>157.47999999999999</v>
      </c>
      <c r="F41" s="786">
        <v>100.92</v>
      </c>
      <c r="G41" s="786"/>
      <c r="H41" s="786"/>
      <c r="I41" s="787">
        <f t="shared" si="22"/>
        <v>258.39999999999998</v>
      </c>
      <c r="J41" s="577"/>
      <c r="K41" s="578"/>
      <c r="L41" s="578"/>
      <c r="M41" s="578"/>
      <c r="N41" s="593">
        <f t="shared" si="23"/>
        <v>0</v>
      </c>
      <c r="O41" s="577"/>
      <c r="P41" s="578"/>
      <c r="Q41" s="578"/>
      <c r="R41" s="578"/>
      <c r="S41" s="624"/>
      <c r="T41" s="594">
        <f t="shared" si="24"/>
        <v>0</v>
      </c>
      <c r="U41" s="593">
        <f t="shared" si="25"/>
        <v>258.39999999999998</v>
      </c>
    </row>
    <row r="42" spans="2:21" ht="15" customHeight="1">
      <c r="B42" s="890"/>
      <c r="C42" s="884" t="s">
        <v>267</v>
      </c>
      <c r="D42" s="587" t="s">
        <v>262</v>
      </c>
      <c r="E42" s="794"/>
      <c r="F42" s="795"/>
      <c r="G42" s="795"/>
      <c r="H42" s="795"/>
      <c r="I42" s="796">
        <f t="shared" si="22"/>
        <v>0</v>
      </c>
      <c r="J42" s="588"/>
      <c r="K42" s="589"/>
      <c r="L42" s="589"/>
      <c r="M42" s="589"/>
      <c r="N42" s="598">
        <f t="shared" si="23"/>
        <v>0</v>
      </c>
      <c r="O42" s="588"/>
      <c r="P42" s="589"/>
      <c r="Q42" s="589"/>
      <c r="R42" s="589"/>
      <c r="S42" s="625"/>
      <c r="T42" s="629">
        <f t="shared" si="24"/>
        <v>0</v>
      </c>
      <c r="U42" s="598">
        <f t="shared" si="25"/>
        <v>0</v>
      </c>
    </row>
    <row r="43" spans="2:21" ht="15" customHeight="1">
      <c r="B43" s="890"/>
      <c r="C43" s="885"/>
      <c r="D43" s="557" t="s">
        <v>263</v>
      </c>
      <c r="E43" s="782"/>
      <c r="F43" s="783"/>
      <c r="G43" s="783"/>
      <c r="H43" s="783"/>
      <c r="I43" s="784">
        <f t="shared" si="22"/>
        <v>0</v>
      </c>
      <c r="J43" s="563"/>
      <c r="K43" s="554"/>
      <c r="L43" s="554"/>
      <c r="M43" s="554"/>
      <c r="N43" s="592">
        <f t="shared" si="23"/>
        <v>0</v>
      </c>
      <c r="O43" s="563"/>
      <c r="P43" s="554"/>
      <c r="Q43" s="554"/>
      <c r="R43" s="554"/>
      <c r="S43" s="622"/>
      <c r="T43" s="627">
        <f t="shared" si="24"/>
        <v>0</v>
      </c>
      <c r="U43" s="592">
        <f t="shared" si="25"/>
        <v>0</v>
      </c>
    </row>
    <row r="44" spans="2:21" ht="15" customHeight="1">
      <c r="B44" s="890"/>
      <c r="C44" s="885"/>
      <c r="D44" s="557" t="s">
        <v>264</v>
      </c>
      <c r="E44" s="782"/>
      <c r="F44" s="783"/>
      <c r="G44" s="783"/>
      <c r="H44" s="783"/>
      <c r="I44" s="784">
        <f t="shared" si="22"/>
        <v>0</v>
      </c>
      <c r="J44" s="563"/>
      <c r="K44" s="554"/>
      <c r="L44" s="554"/>
      <c r="M44" s="554"/>
      <c r="N44" s="592">
        <f t="shared" si="23"/>
        <v>0</v>
      </c>
      <c r="O44" s="563"/>
      <c r="P44" s="554"/>
      <c r="Q44" s="554"/>
      <c r="R44" s="554"/>
      <c r="S44" s="622"/>
      <c r="T44" s="627">
        <f t="shared" si="24"/>
        <v>0</v>
      </c>
      <c r="U44" s="592">
        <f t="shared" si="25"/>
        <v>0</v>
      </c>
    </row>
    <row r="45" spans="2:21" ht="15.75" customHeight="1" thickBot="1">
      <c r="B45" s="890"/>
      <c r="C45" s="886"/>
      <c r="D45" s="620" t="s">
        <v>265</v>
      </c>
      <c r="E45" s="791"/>
      <c r="F45" s="792"/>
      <c r="G45" s="792"/>
      <c r="H45" s="792"/>
      <c r="I45" s="793">
        <f t="shared" si="22"/>
        <v>0</v>
      </c>
      <c r="J45" s="600"/>
      <c r="K45" s="601"/>
      <c r="L45" s="601"/>
      <c r="M45" s="601"/>
      <c r="N45" s="590">
        <f t="shared" si="23"/>
        <v>0</v>
      </c>
      <c r="O45" s="600"/>
      <c r="P45" s="601"/>
      <c r="Q45" s="601"/>
      <c r="R45" s="601"/>
      <c r="S45" s="623"/>
      <c r="T45" s="628">
        <f t="shared" si="24"/>
        <v>0</v>
      </c>
      <c r="U45" s="590">
        <f t="shared" si="25"/>
        <v>0</v>
      </c>
    </row>
    <row r="46" spans="2:21">
      <c r="B46" s="890"/>
      <c r="C46" s="887" t="s">
        <v>268</v>
      </c>
      <c r="D46" s="579" t="s">
        <v>262</v>
      </c>
      <c r="E46" s="779"/>
      <c r="F46" s="780"/>
      <c r="G46" s="780"/>
      <c r="H46" s="780"/>
      <c r="I46" s="781">
        <f t="shared" si="22"/>
        <v>0</v>
      </c>
      <c r="J46" s="574"/>
      <c r="K46" s="575"/>
      <c r="L46" s="575"/>
      <c r="M46" s="575"/>
      <c r="N46" s="591">
        <f t="shared" si="23"/>
        <v>0</v>
      </c>
      <c r="O46" s="574"/>
      <c r="P46" s="575"/>
      <c r="Q46" s="575"/>
      <c r="R46" s="575"/>
      <c r="S46" s="621"/>
      <c r="T46" s="626">
        <f t="shared" si="24"/>
        <v>0</v>
      </c>
      <c r="U46" s="591">
        <f t="shared" si="25"/>
        <v>0</v>
      </c>
    </row>
    <row r="47" spans="2:21">
      <c r="B47" s="890"/>
      <c r="C47" s="885"/>
      <c r="D47" s="557" t="s">
        <v>263</v>
      </c>
      <c r="E47" s="782"/>
      <c r="F47" s="783"/>
      <c r="G47" s="783"/>
      <c r="H47" s="783"/>
      <c r="I47" s="784">
        <f t="shared" si="22"/>
        <v>0</v>
      </c>
      <c r="J47" s="563"/>
      <c r="K47" s="554"/>
      <c r="L47" s="554"/>
      <c r="M47" s="554"/>
      <c r="N47" s="592">
        <f t="shared" si="23"/>
        <v>0</v>
      </c>
      <c r="O47" s="563"/>
      <c r="P47" s="554"/>
      <c r="Q47" s="554"/>
      <c r="R47" s="554"/>
      <c r="S47" s="622"/>
      <c r="T47" s="627">
        <f t="shared" si="24"/>
        <v>0</v>
      </c>
      <c r="U47" s="592">
        <f t="shared" si="25"/>
        <v>0</v>
      </c>
    </row>
    <row r="48" spans="2:21">
      <c r="B48" s="890"/>
      <c r="C48" s="885"/>
      <c r="D48" s="557" t="s">
        <v>264</v>
      </c>
      <c r="E48" s="782"/>
      <c r="F48" s="783"/>
      <c r="G48" s="783"/>
      <c r="H48" s="783"/>
      <c r="I48" s="784">
        <f t="shared" si="22"/>
        <v>0</v>
      </c>
      <c r="J48" s="563"/>
      <c r="K48" s="554"/>
      <c r="L48" s="554"/>
      <c r="M48" s="554"/>
      <c r="N48" s="592">
        <f t="shared" si="23"/>
        <v>0</v>
      </c>
      <c r="O48" s="563"/>
      <c r="P48" s="554"/>
      <c r="Q48" s="554"/>
      <c r="R48" s="554"/>
      <c r="S48" s="622"/>
      <c r="T48" s="627">
        <f t="shared" si="24"/>
        <v>0</v>
      </c>
      <c r="U48" s="592">
        <f t="shared" si="25"/>
        <v>0</v>
      </c>
    </row>
    <row r="49" spans="2:21" ht="15.75" thickBot="1">
      <c r="B49" s="890"/>
      <c r="C49" s="888"/>
      <c r="D49" s="580" t="s">
        <v>265</v>
      </c>
      <c r="E49" s="785"/>
      <c r="F49" s="786"/>
      <c r="G49" s="786"/>
      <c r="H49" s="786"/>
      <c r="I49" s="787">
        <f t="shared" si="22"/>
        <v>0</v>
      </c>
      <c r="J49" s="577"/>
      <c r="K49" s="578"/>
      <c r="L49" s="578"/>
      <c r="M49" s="578"/>
      <c r="N49" s="593">
        <f t="shared" si="23"/>
        <v>0</v>
      </c>
      <c r="O49" s="577"/>
      <c r="P49" s="578"/>
      <c r="Q49" s="578"/>
      <c r="R49" s="578"/>
      <c r="S49" s="624"/>
      <c r="T49" s="594">
        <f t="shared" si="24"/>
        <v>0</v>
      </c>
      <c r="U49" s="593">
        <f t="shared" si="25"/>
        <v>0</v>
      </c>
    </row>
    <row r="50" spans="2:21">
      <c r="B50" s="890"/>
      <c r="C50" s="887" t="s">
        <v>269</v>
      </c>
      <c r="D50" s="579" t="s">
        <v>262</v>
      </c>
      <c r="E50" s="779">
        <v>52.7</v>
      </c>
      <c r="F50" s="780">
        <v>51.5</v>
      </c>
      <c r="G50" s="780"/>
      <c r="H50" s="780"/>
      <c r="I50" s="781">
        <f t="shared" si="22"/>
        <v>104.2</v>
      </c>
      <c r="J50" s="574"/>
      <c r="K50" s="575"/>
      <c r="L50" s="575"/>
      <c r="M50" s="575"/>
      <c r="N50" s="591">
        <f t="shared" si="23"/>
        <v>0</v>
      </c>
      <c r="O50" s="574"/>
      <c r="P50" s="575"/>
      <c r="Q50" s="575"/>
      <c r="R50" s="575"/>
      <c r="S50" s="621"/>
      <c r="T50" s="626">
        <f t="shared" si="24"/>
        <v>0</v>
      </c>
      <c r="U50" s="591">
        <f t="shared" si="25"/>
        <v>104.2</v>
      </c>
    </row>
    <row r="51" spans="2:21">
      <c r="B51" s="890"/>
      <c r="C51" s="885"/>
      <c r="D51" s="557" t="s">
        <v>263</v>
      </c>
      <c r="E51" s="782">
        <v>697.03</v>
      </c>
      <c r="F51" s="783">
        <v>674.41</v>
      </c>
      <c r="G51" s="783"/>
      <c r="H51" s="783"/>
      <c r="I51" s="784">
        <f t="shared" si="22"/>
        <v>1371.44</v>
      </c>
      <c r="J51" s="563"/>
      <c r="K51" s="554"/>
      <c r="L51" s="554"/>
      <c r="M51" s="554"/>
      <c r="N51" s="592">
        <f t="shared" si="23"/>
        <v>0</v>
      </c>
      <c r="O51" s="563"/>
      <c r="P51" s="554"/>
      <c r="Q51" s="554"/>
      <c r="R51" s="554"/>
      <c r="S51" s="622"/>
      <c r="T51" s="627">
        <f t="shared" si="24"/>
        <v>0</v>
      </c>
      <c r="U51" s="592">
        <f t="shared" si="25"/>
        <v>1371.44</v>
      </c>
    </row>
    <row r="52" spans="2:21">
      <c r="B52" s="890"/>
      <c r="C52" s="885"/>
      <c r="D52" s="557" t="s">
        <v>264</v>
      </c>
      <c r="E52" s="782"/>
      <c r="F52" s="783"/>
      <c r="G52" s="783"/>
      <c r="H52" s="783"/>
      <c r="I52" s="784">
        <f t="shared" si="22"/>
        <v>0</v>
      </c>
      <c r="J52" s="563"/>
      <c r="K52" s="554"/>
      <c r="L52" s="554"/>
      <c r="M52" s="554"/>
      <c r="N52" s="592">
        <f t="shared" si="23"/>
        <v>0</v>
      </c>
      <c r="O52" s="563"/>
      <c r="P52" s="554"/>
      <c r="Q52" s="554"/>
      <c r="R52" s="554"/>
      <c r="S52" s="622"/>
      <c r="T52" s="627">
        <f t="shared" si="24"/>
        <v>0</v>
      </c>
      <c r="U52" s="592">
        <f t="shared" si="25"/>
        <v>0</v>
      </c>
    </row>
    <row r="53" spans="2:21" ht="15.75" thickBot="1">
      <c r="B53" s="890"/>
      <c r="C53" s="888"/>
      <c r="D53" s="580" t="s">
        <v>265</v>
      </c>
      <c r="E53" s="785"/>
      <c r="F53" s="786"/>
      <c r="G53" s="786"/>
      <c r="H53" s="786"/>
      <c r="I53" s="787">
        <f t="shared" si="22"/>
        <v>0</v>
      </c>
      <c r="J53" s="577"/>
      <c r="K53" s="578"/>
      <c r="L53" s="578"/>
      <c r="M53" s="578"/>
      <c r="N53" s="593">
        <f t="shared" si="23"/>
        <v>0</v>
      </c>
      <c r="O53" s="577"/>
      <c r="P53" s="578"/>
      <c r="Q53" s="578"/>
      <c r="R53" s="578"/>
      <c r="S53" s="624"/>
      <c r="T53" s="594">
        <f t="shared" si="24"/>
        <v>0</v>
      </c>
      <c r="U53" s="593">
        <f t="shared" si="25"/>
        <v>0</v>
      </c>
    </row>
    <row r="54" spans="2:21" ht="15" customHeight="1">
      <c r="B54" s="890"/>
      <c r="C54" s="887" t="s">
        <v>270</v>
      </c>
      <c r="D54" s="579" t="s">
        <v>262</v>
      </c>
      <c r="E54" s="779">
        <v>15.6</v>
      </c>
      <c r="F54" s="780"/>
      <c r="G54" s="780"/>
      <c r="H54" s="780"/>
      <c r="I54" s="781">
        <f t="shared" si="22"/>
        <v>15.6</v>
      </c>
      <c r="J54" s="574"/>
      <c r="K54" s="575"/>
      <c r="L54" s="575"/>
      <c r="M54" s="575"/>
      <c r="N54" s="591">
        <f t="shared" si="23"/>
        <v>0</v>
      </c>
      <c r="O54" s="574"/>
      <c r="P54" s="575"/>
      <c r="Q54" s="575"/>
      <c r="R54" s="575"/>
      <c r="S54" s="621"/>
      <c r="T54" s="626">
        <f t="shared" si="24"/>
        <v>0</v>
      </c>
      <c r="U54" s="591">
        <f t="shared" si="25"/>
        <v>15.6</v>
      </c>
    </row>
    <row r="55" spans="2:21" ht="15" customHeight="1">
      <c r="B55" s="890"/>
      <c r="C55" s="885"/>
      <c r="D55" s="557" t="s">
        <v>263</v>
      </c>
      <c r="E55" s="782">
        <v>236.5</v>
      </c>
      <c r="F55" s="783"/>
      <c r="G55" s="783"/>
      <c r="H55" s="783"/>
      <c r="I55" s="784">
        <f t="shared" si="22"/>
        <v>236.5</v>
      </c>
      <c r="J55" s="563"/>
      <c r="K55" s="554"/>
      <c r="L55" s="554"/>
      <c r="M55" s="554"/>
      <c r="N55" s="592">
        <f t="shared" si="23"/>
        <v>0</v>
      </c>
      <c r="O55" s="563"/>
      <c r="P55" s="554"/>
      <c r="Q55" s="554"/>
      <c r="R55" s="554"/>
      <c r="S55" s="622"/>
      <c r="T55" s="627">
        <f t="shared" si="24"/>
        <v>0</v>
      </c>
      <c r="U55" s="592">
        <f t="shared" si="25"/>
        <v>236.5</v>
      </c>
    </row>
    <row r="56" spans="2:21" ht="15" customHeight="1">
      <c r="B56" s="890"/>
      <c r="C56" s="885"/>
      <c r="D56" s="557" t="s">
        <v>264</v>
      </c>
      <c r="E56" s="782"/>
      <c r="F56" s="783"/>
      <c r="G56" s="783"/>
      <c r="H56" s="783"/>
      <c r="I56" s="784">
        <f t="shared" si="22"/>
        <v>0</v>
      </c>
      <c r="J56" s="563"/>
      <c r="K56" s="554"/>
      <c r="L56" s="554"/>
      <c r="M56" s="554"/>
      <c r="N56" s="592">
        <f t="shared" si="23"/>
        <v>0</v>
      </c>
      <c r="O56" s="563"/>
      <c r="P56" s="554"/>
      <c r="Q56" s="554"/>
      <c r="R56" s="554"/>
      <c r="S56" s="622"/>
      <c r="T56" s="627">
        <f t="shared" si="24"/>
        <v>0</v>
      </c>
      <c r="U56" s="592">
        <f t="shared" si="25"/>
        <v>0</v>
      </c>
    </row>
    <row r="57" spans="2:21" ht="15.75" customHeight="1" thickBot="1">
      <c r="B57" s="890"/>
      <c r="C57" s="888"/>
      <c r="D57" s="580" t="s">
        <v>265</v>
      </c>
      <c r="E57" s="785"/>
      <c r="F57" s="786"/>
      <c r="G57" s="786"/>
      <c r="H57" s="786"/>
      <c r="I57" s="787">
        <f t="shared" si="22"/>
        <v>0</v>
      </c>
      <c r="J57" s="577"/>
      <c r="K57" s="578"/>
      <c r="L57" s="578"/>
      <c r="M57" s="578"/>
      <c r="N57" s="593">
        <f t="shared" si="23"/>
        <v>0</v>
      </c>
      <c r="O57" s="577"/>
      <c r="P57" s="578"/>
      <c r="Q57" s="578"/>
      <c r="R57" s="578"/>
      <c r="S57" s="624"/>
      <c r="T57" s="594">
        <f t="shared" si="24"/>
        <v>0</v>
      </c>
      <c r="U57" s="593">
        <f t="shared" si="25"/>
        <v>0</v>
      </c>
    </row>
    <row r="58" spans="2:21">
      <c r="B58" s="890"/>
      <c r="C58" s="884" t="s">
        <v>271</v>
      </c>
      <c r="D58" s="587" t="s">
        <v>262</v>
      </c>
      <c r="E58" s="794">
        <v>40</v>
      </c>
      <c r="F58" s="795">
        <v>34.6</v>
      </c>
      <c r="G58" s="795"/>
      <c r="H58" s="795"/>
      <c r="I58" s="796">
        <f t="shared" si="22"/>
        <v>74.599999999999994</v>
      </c>
      <c r="J58" s="588"/>
      <c r="K58" s="589"/>
      <c r="L58" s="589"/>
      <c r="M58" s="589"/>
      <c r="N58" s="598">
        <f t="shared" si="23"/>
        <v>0</v>
      </c>
      <c r="O58" s="588"/>
      <c r="P58" s="589"/>
      <c r="Q58" s="589"/>
      <c r="R58" s="589"/>
      <c r="S58" s="625"/>
      <c r="T58" s="629">
        <f t="shared" si="24"/>
        <v>0</v>
      </c>
      <c r="U58" s="598">
        <f t="shared" si="25"/>
        <v>74.599999999999994</v>
      </c>
    </row>
    <row r="59" spans="2:21">
      <c r="B59" s="890"/>
      <c r="C59" s="885"/>
      <c r="D59" s="557" t="s">
        <v>263</v>
      </c>
      <c r="E59" s="782">
        <v>800</v>
      </c>
      <c r="F59" s="783">
        <v>691</v>
      </c>
      <c r="G59" s="783"/>
      <c r="H59" s="783"/>
      <c r="I59" s="784">
        <f t="shared" si="22"/>
        <v>1491</v>
      </c>
      <c r="J59" s="563"/>
      <c r="K59" s="554"/>
      <c r="L59" s="554"/>
      <c r="M59" s="554"/>
      <c r="N59" s="592">
        <f t="shared" si="23"/>
        <v>0</v>
      </c>
      <c r="O59" s="563"/>
      <c r="P59" s="554"/>
      <c r="Q59" s="554"/>
      <c r="R59" s="554"/>
      <c r="S59" s="622"/>
      <c r="T59" s="627">
        <f t="shared" si="24"/>
        <v>0</v>
      </c>
      <c r="U59" s="592">
        <f t="shared" si="25"/>
        <v>1491</v>
      </c>
    </row>
    <row r="60" spans="2:21">
      <c r="B60" s="890"/>
      <c r="C60" s="885"/>
      <c r="D60" s="557" t="s">
        <v>264</v>
      </c>
      <c r="E60" s="782">
        <v>6.6</v>
      </c>
      <c r="F60" s="783"/>
      <c r="G60" s="783"/>
      <c r="H60" s="783"/>
      <c r="I60" s="784">
        <f t="shared" si="22"/>
        <v>6.6</v>
      </c>
      <c r="J60" s="563"/>
      <c r="K60" s="554"/>
      <c r="L60" s="554"/>
      <c r="M60" s="554"/>
      <c r="N60" s="592">
        <f t="shared" si="23"/>
        <v>0</v>
      </c>
      <c r="O60" s="563"/>
      <c r="P60" s="554"/>
      <c r="Q60" s="554"/>
      <c r="R60" s="554"/>
      <c r="S60" s="622"/>
      <c r="T60" s="627">
        <f t="shared" si="24"/>
        <v>0</v>
      </c>
      <c r="U60" s="592">
        <f t="shared" si="25"/>
        <v>6.6</v>
      </c>
    </row>
    <row r="61" spans="2:21" ht="15.75" thickBot="1">
      <c r="B61" s="890"/>
      <c r="C61" s="886"/>
      <c r="D61" s="620" t="s">
        <v>265</v>
      </c>
      <c r="E61" s="791">
        <v>198</v>
      </c>
      <c r="F61" s="792"/>
      <c r="G61" s="792"/>
      <c r="H61" s="792"/>
      <c r="I61" s="793">
        <f t="shared" si="22"/>
        <v>198</v>
      </c>
      <c r="J61" s="600"/>
      <c r="K61" s="601"/>
      <c r="L61" s="601"/>
      <c r="M61" s="601"/>
      <c r="N61" s="590">
        <f t="shared" si="23"/>
        <v>0</v>
      </c>
      <c r="O61" s="600"/>
      <c r="P61" s="601"/>
      <c r="Q61" s="601"/>
      <c r="R61" s="601"/>
      <c r="S61" s="623"/>
      <c r="T61" s="628">
        <f t="shared" si="24"/>
        <v>0</v>
      </c>
      <c r="U61" s="590">
        <f t="shared" si="25"/>
        <v>198</v>
      </c>
    </row>
    <row r="62" spans="2:21">
      <c r="B62" s="890"/>
      <c r="C62" s="887" t="s">
        <v>272</v>
      </c>
      <c r="D62" s="579" t="s">
        <v>262</v>
      </c>
      <c r="E62" s="779">
        <f>68.5+45.8</f>
        <v>114.3</v>
      </c>
      <c r="F62" s="780">
        <f>58.3+29.1</f>
        <v>87.4</v>
      </c>
      <c r="G62" s="780"/>
      <c r="H62" s="780"/>
      <c r="I62" s="781">
        <f t="shared" si="22"/>
        <v>201.7</v>
      </c>
      <c r="J62" s="574"/>
      <c r="K62" s="575"/>
      <c r="L62" s="575"/>
      <c r="M62" s="575"/>
      <c r="N62" s="591">
        <f t="shared" si="23"/>
        <v>0</v>
      </c>
      <c r="O62" s="574"/>
      <c r="P62" s="575"/>
      <c r="Q62" s="575"/>
      <c r="R62" s="575"/>
      <c r="S62" s="621"/>
      <c r="T62" s="626">
        <f t="shared" si="24"/>
        <v>0</v>
      </c>
      <c r="U62" s="591">
        <f t="shared" si="25"/>
        <v>201.7</v>
      </c>
    </row>
    <row r="63" spans="2:21">
      <c r="B63" s="890"/>
      <c r="C63" s="885"/>
      <c r="D63" s="557" t="s">
        <v>263</v>
      </c>
      <c r="E63" s="782">
        <f>701.59+549.36</f>
        <v>1250.95</v>
      </c>
      <c r="F63" s="783">
        <f>640.33+348.6</f>
        <v>988.93000000000006</v>
      </c>
      <c r="G63" s="783"/>
      <c r="H63" s="783"/>
      <c r="I63" s="784">
        <f t="shared" si="22"/>
        <v>2239.88</v>
      </c>
      <c r="J63" s="563"/>
      <c r="K63" s="554"/>
      <c r="L63" s="554"/>
      <c r="M63" s="554"/>
      <c r="N63" s="592">
        <f t="shared" si="23"/>
        <v>0</v>
      </c>
      <c r="O63" s="563"/>
      <c r="P63" s="554"/>
      <c r="Q63" s="554"/>
      <c r="R63" s="554"/>
      <c r="S63" s="622"/>
      <c r="T63" s="627">
        <f t="shared" si="24"/>
        <v>0</v>
      </c>
      <c r="U63" s="592">
        <f t="shared" si="25"/>
        <v>2239.88</v>
      </c>
    </row>
    <row r="64" spans="2:21">
      <c r="B64" s="890"/>
      <c r="C64" s="885"/>
      <c r="D64" s="557" t="s">
        <v>264</v>
      </c>
      <c r="E64" s="782"/>
      <c r="F64" s="783"/>
      <c r="G64" s="783"/>
      <c r="H64" s="783"/>
      <c r="I64" s="784">
        <f t="shared" si="22"/>
        <v>0</v>
      </c>
      <c r="J64" s="563"/>
      <c r="K64" s="554"/>
      <c r="L64" s="554"/>
      <c r="M64" s="554"/>
      <c r="N64" s="592">
        <f t="shared" si="23"/>
        <v>0</v>
      </c>
      <c r="O64" s="563"/>
      <c r="P64" s="554"/>
      <c r="Q64" s="554"/>
      <c r="R64" s="554"/>
      <c r="S64" s="622"/>
      <c r="T64" s="627">
        <f t="shared" si="24"/>
        <v>0</v>
      </c>
      <c r="U64" s="592">
        <f t="shared" si="25"/>
        <v>0</v>
      </c>
    </row>
    <row r="65" spans="2:21" ht="15.75" thickBot="1">
      <c r="B65" s="890"/>
      <c r="C65" s="888"/>
      <c r="D65" s="580" t="s">
        <v>265</v>
      </c>
      <c r="E65" s="785"/>
      <c r="F65" s="786"/>
      <c r="G65" s="786"/>
      <c r="H65" s="786"/>
      <c r="I65" s="787">
        <f t="shared" si="22"/>
        <v>0</v>
      </c>
      <c r="J65" s="577"/>
      <c r="K65" s="578"/>
      <c r="L65" s="578"/>
      <c r="M65" s="578"/>
      <c r="N65" s="593">
        <f t="shared" si="23"/>
        <v>0</v>
      </c>
      <c r="O65" s="577"/>
      <c r="P65" s="578"/>
      <c r="Q65" s="578"/>
      <c r="R65" s="578"/>
      <c r="S65" s="624"/>
      <c r="T65" s="594">
        <f t="shared" si="24"/>
        <v>0</v>
      </c>
      <c r="U65" s="593">
        <f t="shared" si="25"/>
        <v>0</v>
      </c>
    </row>
    <row r="66" spans="2:21">
      <c r="B66" s="890"/>
      <c r="C66" s="884" t="s">
        <v>289</v>
      </c>
      <c r="D66" s="587" t="s">
        <v>262</v>
      </c>
      <c r="E66" s="794"/>
      <c r="F66" s="795"/>
      <c r="G66" s="795"/>
      <c r="H66" s="795"/>
      <c r="I66" s="796">
        <f t="shared" si="22"/>
        <v>0</v>
      </c>
      <c r="J66" s="588"/>
      <c r="K66" s="589"/>
      <c r="L66" s="589"/>
      <c r="M66" s="589"/>
      <c r="N66" s="598">
        <f t="shared" si="23"/>
        <v>0</v>
      </c>
      <c r="O66" s="588"/>
      <c r="P66" s="589"/>
      <c r="Q66" s="589"/>
      <c r="R66" s="589"/>
      <c r="S66" s="625"/>
      <c r="T66" s="629">
        <f t="shared" si="24"/>
        <v>0</v>
      </c>
      <c r="U66" s="598">
        <f t="shared" si="25"/>
        <v>0</v>
      </c>
    </row>
    <row r="67" spans="2:21">
      <c r="B67" s="890"/>
      <c r="C67" s="885"/>
      <c r="D67" s="557" t="s">
        <v>263</v>
      </c>
      <c r="E67" s="782"/>
      <c r="F67" s="783"/>
      <c r="G67" s="783"/>
      <c r="H67" s="783"/>
      <c r="I67" s="784">
        <f t="shared" si="22"/>
        <v>0</v>
      </c>
      <c r="J67" s="563"/>
      <c r="K67" s="554"/>
      <c r="L67" s="554"/>
      <c r="M67" s="554"/>
      <c r="N67" s="592">
        <f t="shared" si="23"/>
        <v>0</v>
      </c>
      <c r="O67" s="563"/>
      <c r="P67" s="554"/>
      <c r="Q67" s="554"/>
      <c r="R67" s="554"/>
      <c r="S67" s="622"/>
      <c r="T67" s="627">
        <f t="shared" si="24"/>
        <v>0</v>
      </c>
      <c r="U67" s="592">
        <f t="shared" si="25"/>
        <v>0</v>
      </c>
    </row>
    <row r="68" spans="2:21">
      <c r="B68" s="890"/>
      <c r="C68" s="885"/>
      <c r="D68" s="557" t="s">
        <v>264</v>
      </c>
      <c r="E68" s="782"/>
      <c r="F68" s="783"/>
      <c r="G68" s="783"/>
      <c r="H68" s="783"/>
      <c r="I68" s="784">
        <f t="shared" si="22"/>
        <v>0</v>
      </c>
      <c r="J68" s="563"/>
      <c r="K68" s="554"/>
      <c r="L68" s="554"/>
      <c r="M68" s="554"/>
      <c r="N68" s="592">
        <f t="shared" si="23"/>
        <v>0</v>
      </c>
      <c r="O68" s="563"/>
      <c r="P68" s="554"/>
      <c r="Q68" s="554"/>
      <c r="R68" s="554"/>
      <c r="S68" s="622"/>
      <c r="T68" s="627">
        <f t="shared" si="24"/>
        <v>0</v>
      </c>
      <c r="U68" s="592">
        <f t="shared" si="25"/>
        <v>0</v>
      </c>
    </row>
    <row r="69" spans="2:21" ht="15.75" thickBot="1">
      <c r="B69" s="890"/>
      <c r="C69" s="886"/>
      <c r="D69" s="620" t="s">
        <v>265</v>
      </c>
      <c r="E69" s="791"/>
      <c r="F69" s="792"/>
      <c r="G69" s="792"/>
      <c r="H69" s="792"/>
      <c r="I69" s="793">
        <f t="shared" si="22"/>
        <v>0</v>
      </c>
      <c r="J69" s="600"/>
      <c r="K69" s="601"/>
      <c r="L69" s="601"/>
      <c r="M69" s="601"/>
      <c r="N69" s="590">
        <f t="shared" si="23"/>
        <v>0</v>
      </c>
      <c r="O69" s="600"/>
      <c r="P69" s="601"/>
      <c r="Q69" s="601"/>
      <c r="R69" s="601"/>
      <c r="S69" s="623"/>
      <c r="T69" s="628">
        <f t="shared" si="24"/>
        <v>0</v>
      </c>
      <c r="U69" s="590">
        <f t="shared" si="25"/>
        <v>0</v>
      </c>
    </row>
    <row r="70" spans="2:21">
      <c r="B70" s="890"/>
      <c r="C70" s="887" t="s">
        <v>290</v>
      </c>
      <c r="D70" s="579" t="s">
        <v>262</v>
      </c>
      <c r="E70" s="779">
        <v>3.3</v>
      </c>
      <c r="F70" s="780"/>
      <c r="G70" s="780"/>
      <c r="H70" s="780"/>
      <c r="I70" s="781">
        <f t="shared" si="22"/>
        <v>3.3</v>
      </c>
      <c r="J70" s="574"/>
      <c r="K70" s="575"/>
      <c r="L70" s="575"/>
      <c r="M70" s="575"/>
      <c r="N70" s="591">
        <f t="shared" si="23"/>
        <v>0</v>
      </c>
      <c r="O70" s="574"/>
      <c r="P70" s="575"/>
      <c r="Q70" s="575"/>
      <c r="R70" s="575"/>
      <c r="S70" s="621"/>
      <c r="T70" s="626">
        <f t="shared" si="24"/>
        <v>0</v>
      </c>
      <c r="U70" s="591">
        <f t="shared" si="25"/>
        <v>3.3</v>
      </c>
    </row>
    <row r="71" spans="2:21">
      <c r="B71" s="890"/>
      <c r="C71" s="885"/>
      <c r="D71" s="557" t="s">
        <v>263</v>
      </c>
      <c r="E71" s="782">
        <v>42.9</v>
      </c>
      <c r="F71" s="783"/>
      <c r="G71" s="783"/>
      <c r="H71" s="783"/>
      <c r="I71" s="784">
        <f t="shared" si="22"/>
        <v>42.9</v>
      </c>
      <c r="J71" s="563"/>
      <c r="K71" s="554"/>
      <c r="L71" s="554"/>
      <c r="M71" s="554"/>
      <c r="N71" s="592">
        <f t="shared" si="23"/>
        <v>0</v>
      </c>
      <c r="O71" s="563"/>
      <c r="P71" s="554"/>
      <c r="Q71" s="554"/>
      <c r="R71" s="554"/>
      <c r="S71" s="622"/>
      <c r="T71" s="627">
        <f t="shared" si="24"/>
        <v>0</v>
      </c>
      <c r="U71" s="592">
        <f t="shared" si="25"/>
        <v>42.9</v>
      </c>
    </row>
    <row r="72" spans="2:21">
      <c r="B72" s="890"/>
      <c r="C72" s="885"/>
      <c r="D72" s="557" t="s">
        <v>264</v>
      </c>
      <c r="E72" s="782"/>
      <c r="F72" s="783"/>
      <c r="G72" s="783"/>
      <c r="H72" s="783"/>
      <c r="I72" s="784">
        <f t="shared" si="22"/>
        <v>0</v>
      </c>
      <c r="J72" s="563"/>
      <c r="K72" s="554"/>
      <c r="L72" s="554"/>
      <c r="M72" s="554"/>
      <c r="N72" s="592">
        <f t="shared" si="23"/>
        <v>0</v>
      </c>
      <c r="O72" s="563"/>
      <c r="P72" s="554"/>
      <c r="Q72" s="554"/>
      <c r="R72" s="554"/>
      <c r="S72" s="622"/>
      <c r="T72" s="627">
        <f t="shared" si="24"/>
        <v>0</v>
      </c>
      <c r="U72" s="592">
        <f t="shared" si="25"/>
        <v>0</v>
      </c>
    </row>
    <row r="73" spans="2:21" ht="15.75" thickBot="1">
      <c r="B73" s="890"/>
      <c r="C73" s="888"/>
      <c r="D73" s="580" t="s">
        <v>265</v>
      </c>
      <c r="E73" s="785"/>
      <c r="F73" s="786"/>
      <c r="G73" s="786"/>
      <c r="H73" s="786"/>
      <c r="I73" s="787">
        <f t="shared" si="22"/>
        <v>0</v>
      </c>
      <c r="J73" s="577"/>
      <c r="K73" s="578"/>
      <c r="L73" s="578"/>
      <c r="M73" s="578"/>
      <c r="N73" s="593">
        <f t="shared" si="23"/>
        <v>0</v>
      </c>
      <c r="O73" s="577"/>
      <c r="P73" s="578"/>
      <c r="Q73" s="578"/>
      <c r="R73" s="578"/>
      <c r="S73" s="624"/>
      <c r="T73" s="594">
        <f t="shared" si="24"/>
        <v>0</v>
      </c>
      <c r="U73" s="593">
        <f t="shared" si="25"/>
        <v>0</v>
      </c>
    </row>
    <row r="74" spans="2:21">
      <c r="B74" s="890"/>
      <c r="C74" s="884" t="s">
        <v>273</v>
      </c>
      <c r="D74" s="587" t="s">
        <v>262</v>
      </c>
      <c r="E74" s="794">
        <v>60.3</v>
      </c>
      <c r="F74" s="795">
        <v>57.3</v>
      </c>
      <c r="G74" s="795"/>
      <c r="H74" s="795"/>
      <c r="I74" s="796">
        <f t="shared" si="22"/>
        <v>117.6</v>
      </c>
      <c r="J74" s="588"/>
      <c r="K74" s="589"/>
      <c r="L74" s="589"/>
      <c r="M74" s="589"/>
      <c r="N74" s="598">
        <f t="shared" si="23"/>
        <v>0</v>
      </c>
      <c r="O74" s="588"/>
      <c r="P74" s="589"/>
      <c r="Q74" s="589"/>
      <c r="R74" s="589"/>
      <c r="S74" s="625"/>
      <c r="T74" s="629">
        <f t="shared" si="24"/>
        <v>0</v>
      </c>
      <c r="U74" s="598">
        <f t="shared" si="25"/>
        <v>117.6</v>
      </c>
    </row>
    <row r="75" spans="2:21">
      <c r="B75" s="890"/>
      <c r="C75" s="885"/>
      <c r="D75" s="557" t="s">
        <v>263</v>
      </c>
      <c r="E75" s="782">
        <v>784.29</v>
      </c>
      <c r="F75" s="783">
        <v>744.64</v>
      </c>
      <c r="G75" s="783"/>
      <c r="H75" s="783"/>
      <c r="I75" s="784">
        <f t="shared" si="22"/>
        <v>1528.9299999999998</v>
      </c>
      <c r="J75" s="563"/>
      <c r="K75" s="554"/>
      <c r="L75" s="554"/>
      <c r="M75" s="554"/>
      <c r="N75" s="592">
        <f t="shared" si="23"/>
        <v>0</v>
      </c>
      <c r="O75" s="563"/>
      <c r="P75" s="554"/>
      <c r="Q75" s="554"/>
      <c r="R75" s="554"/>
      <c r="S75" s="622"/>
      <c r="T75" s="627">
        <f t="shared" si="24"/>
        <v>0</v>
      </c>
      <c r="U75" s="592">
        <f t="shared" si="25"/>
        <v>1528.9299999999998</v>
      </c>
    </row>
    <row r="76" spans="2:21">
      <c r="B76" s="890"/>
      <c r="C76" s="885"/>
      <c r="D76" s="557" t="s">
        <v>264</v>
      </c>
      <c r="E76" s="782"/>
      <c r="F76" s="783"/>
      <c r="G76" s="783"/>
      <c r="H76" s="783"/>
      <c r="I76" s="784">
        <f t="shared" si="22"/>
        <v>0</v>
      </c>
      <c r="J76" s="563"/>
      <c r="K76" s="554"/>
      <c r="L76" s="554"/>
      <c r="M76" s="554"/>
      <c r="N76" s="592">
        <f t="shared" si="23"/>
        <v>0</v>
      </c>
      <c r="O76" s="563"/>
      <c r="P76" s="554"/>
      <c r="Q76" s="554"/>
      <c r="R76" s="554"/>
      <c r="S76" s="622"/>
      <c r="T76" s="627">
        <f t="shared" si="24"/>
        <v>0</v>
      </c>
      <c r="U76" s="592">
        <f t="shared" si="25"/>
        <v>0</v>
      </c>
    </row>
    <row r="77" spans="2:21" ht="15.75" thickBot="1">
      <c r="B77" s="890"/>
      <c r="C77" s="886"/>
      <c r="D77" s="620" t="s">
        <v>265</v>
      </c>
      <c r="E77" s="791"/>
      <c r="F77" s="792"/>
      <c r="G77" s="792"/>
      <c r="H77" s="792"/>
      <c r="I77" s="793">
        <f t="shared" si="22"/>
        <v>0</v>
      </c>
      <c r="J77" s="600"/>
      <c r="K77" s="601"/>
      <c r="L77" s="601"/>
      <c r="M77" s="601"/>
      <c r="N77" s="590">
        <f t="shared" si="23"/>
        <v>0</v>
      </c>
      <c r="O77" s="600"/>
      <c r="P77" s="601"/>
      <c r="Q77" s="601"/>
      <c r="R77" s="601"/>
      <c r="S77" s="623"/>
      <c r="T77" s="628">
        <f t="shared" si="24"/>
        <v>0</v>
      </c>
      <c r="U77" s="590">
        <f t="shared" si="25"/>
        <v>0</v>
      </c>
    </row>
    <row r="78" spans="2:21">
      <c r="B78" s="890"/>
      <c r="C78" s="887" t="s">
        <v>291</v>
      </c>
      <c r="D78" s="579" t="s">
        <v>262</v>
      </c>
      <c r="E78" s="779">
        <v>68.400000000000006</v>
      </c>
      <c r="F78" s="780">
        <f>60.9+3.1</f>
        <v>64</v>
      </c>
      <c r="G78" s="780"/>
      <c r="H78" s="780"/>
      <c r="I78" s="781">
        <f t="shared" si="22"/>
        <v>132.4</v>
      </c>
      <c r="J78" s="574"/>
      <c r="K78" s="575"/>
      <c r="L78" s="575"/>
      <c r="M78" s="575"/>
      <c r="N78" s="591">
        <f t="shared" si="23"/>
        <v>0</v>
      </c>
      <c r="O78" s="574"/>
      <c r="P78" s="575"/>
      <c r="Q78" s="575"/>
      <c r="R78" s="575"/>
      <c r="S78" s="621"/>
      <c r="T78" s="626">
        <f t="shared" si="24"/>
        <v>0</v>
      </c>
      <c r="U78" s="591">
        <f t="shared" si="25"/>
        <v>132.4</v>
      </c>
    </row>
    <row r="79" spans="2:21">
      <c r="B79" s="890"/>
      <c r="C79" s="885"/>
      <c r="D79" s="557" t="s">
        <v>263</v>
      </c>
      <c r="E79" s="782">
        <v>820.8</v>
      </c>
      <c r="F79" s="783">
        <f>36.6+731.04</f>
        <v>767.64</v>
      </c>
      <c r="G79" s="783"/>
      <c r="H79" s="783"/>
      <c r="I79" s="784">
        <f t="shared" si="22"/>
        <v>1588.44</v>
      </c>
      <c r="J79" s="563"/>
      <c r="K79" s="554"/>
      <c r="L79" s="554"/>
      <c r="M79" s="554"/>
      <c r="N79" s="592">
        <f t="shared" si="23"/>
        <v>0</v>
      </c>
      <c r="O79" s="563"/>
      <c r="P79" s="554"/>
      <c r="Q79" s="554"/>
      <c r="R79" s="554"/>
      <c r="S79" s="622"/>
      <c r="T79" s="627">
        <f t="shared" si="24"/>
        <v>0</v>
      </c>
      <c r="U79" s="592">
        <f t="shared" si="25"/>
        <v>1588.44</v>
      </c>
    </row>
    <row r="80" spans="2:21">
      <c r="B80" s="890"/>
      <c r="C80" s="885"/>
      <c r="D80" s="557" t="s">
        <v>264</v>
      </c>
      <c r="E80" s="782"/>
      <c r="F80" s="783"/>
      <c r="G80" s="783"/>
      <c r="H80" s="783"/>
      <c r="I80" s="784">
        <f t="shared" si="22"/>
        <v>0</v>
      </c>
      <c r="J80" s="563"/>
      <c r="K80" s="554"/>
      <c r="L80" s="554"/>
      <c r="M80" s="554"/>
      <c r="N80" s="592">
        <f t="shared" si="23"/>
        <v>0</v>
      </c>
      <c r="O80" s="563"/>
      <c r="P80" s="554"/>
      <c r="Q80" s="554"/>
      <c r="R80" s="554"/>
      <c r="S80" s="622"/>
      <c r="T80" s="627">
        <f t="shared" si="24"/>
        <v>0</v>
      </c>
      <c r="U80" s="592">
        <f t="shared" si="25"/>
        <v>0</v>
      </c>
    </row>
    <row r="81" spans="2:21" ht="15.75" thickBot="1">
      <c r="B81" s="890"/>
      <c r="C81" s="888"/>
      <c r="D81" s="580" t="s">
        <v>265</v>
      </c>
      <c r="E81" s="785"/>
      <c r="F81" s="786"/>
      <c r="G81" s="786"/>
      <c r="H81" s="786"/>
      <c r="I81" s="787">
        <f t="shared" si="22"/>
        <v>0</v>
      </c>
      <c r="J81" s="577"/>
      <c r="K81" s="578"/>
      <c r="L81" s="578"/>
      <c r="M81" s="578"/>
      <c r="N81" s="593">
        <f t="shared" si="23"/>
        <v>0</v>
      </c>
      <c r="O81" s="577"/>
      <c r="P81" s="578"/>
      <c r="Q81" s="578"/>
      <c r="R81" s="578"/>
      <c r="S81" s="624"/>
      <c r="T81" s="594">
        <f t="shared" si="24"/>
        <v>0</v>
      </c>
      <c r="U81" s="593">
        <f t="shared" si="25"/>
        <v>0</v>
      </c>
    </row>
    <row r="82" spans="2:21">
      <c r="B82" s="890"/>
      <c r="C82" s="884" t="s">
        <v>274</v>
      </c>
      <c r="D82" s="587" t="s">
        <v>262</v>
      </c>
      <c r="E82" s="794">
        <f>251.1+9.1</f>
        <v>260.2</v>
      </c>
      <c r="F82" s="795">
        <f>3.2+202.7</f>
        <v>205.89999999999998</v>
      </c>
      <c r="G82" s="795"/>
      <c r="H82" s="795"/>
      <c r="I82" s="796">
        <f t="shared" si="22"/>
        <v>466.09999999999997</v>
      </c>
      <c r="J82" s="588"/>
      <c r="K82" s="589"/>
      <c r="L82" s="589"/>
      <c r="M82" s="589"/>
      <c r="N82" s="598">
        <f t="shared" si="23"/>
        <v>0</v>
      </c>
      <c r="O82" s="588"/>
      <c r="P82" s="589"/>
      <c r="Q82" s="589"/>
      <c r="R82" s="589"/>
      <c r="S82" s="625"/>
      <c r="T82" s="629">
        <f t="shared" si="24"/>
        <v>0</v>
      </c>
      <c r="U82" s="598">
        <f t="shared" si="25"/>
        <v>466.09999999999997</v>
      </c>
    </row>
    <row r="83" spans="2:21">
      <c r="B83" s="890"/>
      <c r="C83" s="885"/>
      <c r="D83" s="557" t="s">
        <v>263</v>
      </c>
      <c r="E83" s="782">
        <f>1602.08+109.2</f>
        <v>1711.28</v>
      </c>
      <c r="F83" s="783">
        <f>38.76+1293.23</f>
        <v>1331.99</v>
      </c>
      <c r="G83" s="783"/>
      <c r="H83" s="783"/>
      <c r="I83" s="784">
        <f t="shared" si="22"/>
        <v>3043.27</v>
      </c>
      <c r="J83" s="563"/>
      <c r="K83" s="554"/>
      <c r="L83" s="554"/>
      <c r="M83" s="554"/>
      <c r="N83" s="592">
        <f t="shared" si="23"/>
        <v>0</v>
      </c>
      <c r="O83" s="563"/>
      <c r="P83" s="554"/>
      <c r="Q83" s="554"/>
      <c r="R83" s="554"/>
      <c r="S83" s="622"/>
      <c r="T83" s="627">
        <f t="shared" si="24"/>
        <v>0</v>
      </c>
      <c r="U83" s="592">
        <f t="shared" si="25"/>
        <v>3043.27</v>
      </c>
    </row>
    <row r="84" spans="2:21">
      <c r="B84" s="890"/>
      <c r="C84" s="885"/>
      <c r="D84" s="557" t="s">
        <v>264</v>
      </c>
      <c r="E84" s="782"/>
      <c r="F84" s="783"/>
      <c r="G84" s="783"/>
      <c r="H84" s="783"/>
      <c r="I84" s="784">
        <f t="shared" si="22"/>
        <v>0</v>
      </c>
      <c r="J84" s="563"/>
      <c r="K84" s="554"/>
      <c r="L84" s="554"/>
      <c r="M84" s="554"/>
      <c r="N84" s="592">
        <f t="shared" si="23"/>
        <v>0</v>
      </c>
      <c r="O84" s="563"/>
      <c r="P84" s="554"/>
      <c r="Q84" s="554"/>
      <c r="R84" s="554"/>
      <c r="S84" s="622"/>
      <c r="T84" s="627">
        <f t="shared" si="24"/>
        <v>0</v>
      </c>
      <c r="U84" s="592">
        <f t="shared" si="25"/>
        <v>0</v>
      </c>
    </row>
    <row r="85" spans="2:21" ht="15.75" thickBot="1">
      <c r="B85" s="890"/>
      <c r="C85" s="886"/>
      <c r="D85" s="620" t="s">
        <v>265</v>
      </c>
      <c r="E85" s="791"/>
      <c r="F85" s="792"/>
      <c r="G85" s="792"/>
      <c r="H85" s="792"/>
      <c r="I85" s="793">
        <f t="shared" si="22"/>
        <v>0</v>
      </c>
      <c r="J85" s="600"/>
      <c r="K85" s="601"/>
      <c r="L85" s="601"/>
      <c r="M85" s="601"/>
      <c r="N85" s="590">
        <f t="shared" si="23"/>
        <v>0</v>
      </c>
      <c r="O85" s="600"/>
      <c r="P85" s="601"/>
      <c r="Q85" s="601"/>
      <c r="R85" s="601"/>
      <c r="S85" s="623"/>
      <c r="T85" s="628">
        <f t="shared" si="24"/>
        <v>0</v>
      </c>
      <c r="U85" s="590">
        <f t="shared" si="25"/>
        <v>0</v>
      </c>
    </row>
    <row r="86" spans="2:21">
      <c r="B86" s="890"/>
      <c r="C86" s="887" t="s">
        <v>275</v>
      </c>
      <c r="D86" s="579" t="s">
        <v>262</v>
      </c>
      <c r="E86" s="779">
        <v>21.8</v>
      </c>
      <c r="F86" s="780">
        <v>7.3</v>
      </c>
      <c r="G86" s="780"/>
      <c r="H86" s="780"/>
      <c r="I86" s="781">
        <f t="shared" si="22"/>
        <v>29.1</v>
      </c>
      <c r="J86" s="574"/>
      <c r="K86" s="575"/>
      <c r="L86" s="575"/>
      <c r="M86" s="575"/>
      <c r="N86" s="591">
        <f t="shared" si="23"/>
        <v>0</v>
      </c>
      <c r="O86" s="574"/>
      <c r="P86" s="575"/>
      <c r="Q86" s="575"/>
      <c r="R86" s="575"/>
      <c r="S86" s="621"/>
      <c r="T86" s="626">
        <f t="shared" si="24"/>
        <v>0</v>
      </c>
      <c r="U86" s="591">
        <f t="shared" si="25"/>
        <v>29.1</v>
      </c>
    </row>
    <row r="87" spans="2:21">
      <c r="B87" s="890"/>
      <c r="C87" s="885"/>
      <c r="D87" s="557" t="s">
        <v>263</v>
      </c>
      <c r="E87" s="782">
        <v>468.49</v>
      </c>
      <c r="F87" s="783">
        <v>157.6</v>
      </c>
      <c r="G87" s="783"/>
      <c r="H87" s="783"/>
      <c r="I87" s="784">
        <f t="shared" si="22"/>
        <v>626.09</v>
      </c>
      <c r="J87" s="563"/>
      <c r="K87" s="554"/>
      <c r="L87" s="554"/>
      <c r="M87" s="554"/>
      <c r="N87" s="592">
        <f t="shared" si="23"/>
        <v>0</v>
      </c>
      <c r="O87" s="563"/>
      <c r="P87" s="554"/>
      <c r="Q87" s="554"/>
      <c r="R87" s="554"/>
      <c r="S87" s="622"/>
      <c r="T87" s="627">
        <f t="shared" si="24"/>
        <v>0</v>
      </c>
      <c r="U87" s="592">
        <f t="shared" si="25"/>
        <v>626.09</v>
      </c>
    </row>
    <row r="88" spans="2:21">
      <c r="B88" s="890"/>
      <c r="C88" s="885"/>
      <c r="D88" s="557" t="s">
        <v>264</v>
      </c>
      <c r="E88" s="782"/>
      <c r="F88" s="783"/>
      <c r="G88" s="783"/>
      <c r="H88" s="783"/>
      <c r="I88" s="784">
        <f t="shared" si="22"/>
        <v>0</v>
      </c>
      <c r="J88" s="563"/>
      <c r="K88" s="554"/>
      <c r="L88" s="554"/>
      <c r="M88" s="554"/>
      <c r="N88" s="592">
        <f t="shared" si="23"/>
        <v>0</v>
      </c>
      <c r="O88" s="563"/>
      <c r="P88" s="554"/>
      <c r="Q88" s="554"/>
      <c r="R88" s="554"/>
      <c r="S88" s="622"/>
      <c r="T88" s="627">
        <f t="shared" si="24"/>
        <v>0</v>
      </c>
      <c r="U88" s="592">
        <f t="shared" si="25"/>
        <v>0</v>
      </c>
    </row>
    <row r="89" spans="2:21" ht="15.75" thickBot="1">
      <c r="B89" s="890"/>
      <c r="C89" s="888"/>
      <c r="D89" s="580" t="s">
        <v>265</v>
      </c>
      <c r="E89" s="785"/>
      <c r="F89" s="786"/>
      <c r="G89" s="786"/>
      <c r="H89" s="786"/>
      <c r="I89" s="787">
        <f t="shared" si="22"/>
        <v>0</v>
      </c>
      <c r="J89" s="577"/>
      <c r="K89" s="578"/>
      <c r="L89" s="578"/>
      <c r="M89" s="578"/>
      <c r="N89" s="593">
        <f t="shared" si="23"/>
        <v>0</v>
      </c>
      <c r="O89" s="577"/>
      <c r="P89" s="578"/>
      <c r="Q89" s="578"/>
      <c r="R89" s="578"/>
      <c r="S89" s="624"/>
      <c r="T89" s="594">
        <f t="shared" si="24"/>
        <v>0</v>
      </c>
      <c r="U89" s="593">
        <f t="shared" si="25"/>
        <v>0</v>
      </c>
    </row>
    <row r="90" spans="2:21">
      <c r="B90" s="890"/>
      <c r="C90" s="887" t="s">
        <v>276</v>
      </c>
      <c r="D90" s="579" t="s">
        <v>262</v>
      </c>
      <c r="E90" s="779">
        <v>0.6</v>
      </c>
      <c r="F90" s="780"/>
      <c r="G90" s="780"/>
      <c r="H90" s="780"/>
      <c r="I90" s="781">
        <f t="shared" si="22"/>
        <v>0.6</v>
      </c>
      <c r="J90" s="574"/>
      <c r="K90" s="575"/>
      <c r="L90" s="575"/>
      <c r="M90" s="575"/>
      <c r="N90" s="591">
        <f t="shared" si="23"/>
        <v>0</v>
      </c>
      <c r="O90" s="574"/>
      <c r="P90" s="575"/>
      <c r="Q90" s="575"/>
      <c r="R90" s="575"/>
      <c r="S90" s="621"/>
      <c r="T90" s="626">
        <f t="shared" si="24"/>
        <v>0</v>
      </c>
      <c r="U90" s="591">
        <f t="shared" si="25"/>
        <v>0.6</v>
      </c>
    </row>
    <row r="91" spans="2:21">
      <c r="B91" s="890"/>
      <c r="C91" s="885"/>
      <c r="D91" s="557" t="s">
        <v>263</v>
      </c>
      <c r="E91" s="782">
        <v>7.68</v>
      </c>
      <c r="F91" s="783"/>
      <c r="G91" s="783"/>
      <c r="H91" s="783"/>
      <c r="I91" s="784">
        <f t="shared" si="22"/>
        <v>7.68</v>
      </c>
      <c r="J91" s="563"/>
      <c r="K91" s="554"/>
      <c r="L91" s="554"/>
      <c r="M91" s="554"/>
      <c r="N91" s="592">
        <f t="shared" si="23"/>
        <v>0</v>
      </c>
      <c r="O91" s="563"/>
      <c r="P91" s="554"/>
      <c r="Q91" s="554"/>
      <c r="R91" s="554"/>
      <c r="S91" s="622"/>
      <c r="T91" s="627">
        <f t="shared" si="24"/>
        <v>0</v>
      </c>
      <c r="U91" s="592">
        <f t="shared" si="25"/>
        <v>7.68</v>
      </c>
    </row>
    <row r="92" spans="2:21">
      <c r="B92" s="890"/>
      <c r="C92" s="885"/>
      <c r="D92" s="557" t="s">
        <v>264</v>
      </c>
      <c r="E92" s="782"/>
      <c r="F92" s="783"/>
      <c r="G92" s="783"/>
      <c r="H92" s="783"/>
      <c r="I92" s="784">
        <f t="shared" si="22"/>
        <v>0</v>
      </c>
      <c r="J92" s="563"/>
      <c r="K92" s="554"/>
      <c r="L92" s="554"/>
      <c r="M92" s="554"/>
      <c r="N92" s="592">
        <f t="shared" si="23"/>
        <v>0</v>
      </c>
      <c r="O92" s="563"/>
      <c r="P92" s="554"/>
      <c r="Q92" s="554"/>
      <c r="R92" s="554"/>
      <c r="S92" s="622"/>
      <c r="T92" s="627">
        <f t="shared" si="24"/>
        <v>0</v>
      </c>
      <c r="U92" s="592">
        <f t="shared" si="25"/>
        <v>0</v>
      </c>
    </row>
    <row r="93" spans="2:21" ht="15.75" thickBot="1">
      <c r="B93" s="891"/>
      <c r="C93" s="888"/>
      <c r="D93" s="580" t="s">
        <v>265</v>
      </c>
      <c r="E93" s="785"/>
      <c r="F93" s="786"/>
      <c r="G93" s="786"/>
      <c r="H93" s="786"/>
      <c r="I93" s="787">
        <f t="shared" si="22"/>
        <v>0</v>
      </c>
      <c r="J93" s="577"/>
      <c r="K93" s="578"/>
      <c r="L93" s="578"/>
      <c r="M93" s="578"/>
      <c r="N93" s="593">
        <f t="shared" si="23"/>
        <v>0</v>
      </c>
      <c r="O93" s="577"/>
      <c r="P93" s="578"/>
      <c r="Q93" s="578"/>
      <c r="R93" s="578"/>
      <c r="S93" s="624"/>
      <c r="T93" s="594">
        <f t="shared" si="24"/>
        <v>0</v>
      </c>
      <c r="U93" s="593">
        <f t="shared" si="25"/>
        <v>0</v>
      </c>
    </row>
    <row r="94" spans="2:21" ht="15.75" thickBot="1">
      <c r="D94" s="547"/>
      <c r="E94" s="788"/>
      <c r="F94" s="789"/>
      <c r="G94" s="789"/>
      <c r="H94" s="789"/>
      <c r="I94" s="797"/>
      <c r="J94" s="564"/>
      <c r="K94" s="546"/>
      <c r="L94" s="546"/>
      <c r="M94" s="546"/>
      <c r="N94" s="581"/>
      <c r="O94" s="564"/>
      <c r="P94" s="546"/>
      <c r="Q94" s="546"/>
      <c r="R94" s="546"/>
      <c r="S94" s="546"/>
      <c r="T94" s="582"/>
      <c r="U94" s="581"/>
    </row>
    <row r="95" spans="2:21">
      <c r="C95" s="895" t="s">
        <v>277</v>
      </c>
      <c r="D95" s="583" t="s">
        <v>29</v>
      </c>
      <c r="E95" s="798">
        <f>SUM(E100:E106)</f>
        <v>17318.29</v>
      </c>
      <c r="F95" s="799">
        <f t="shared" ref="F95:H95" si="26">SUM(F100:F106)</f>
        <v>12421.290000000003</v>
      </c>
      <c r="G95" s="799">
        <f t="shared" si="26"/>
        <v>0</v>
      </c>
      <c r="H95" s="799">
        <f t="shared" si="26"/>
        <v>0</v>
      </c>
      <c r="I95" s="781">
        <f>SUM(E95:H95)</f>
        <v>29739.58</v>
      </c>
      <c r="J95" s="584"/>
      <c r="K95" s="585"/>
      <c r="L95" s="585"/>
      <c r="M95" s="585"/>
      <c r="N95" s="591">
        <f>SUM(J95:M95)</f>
        <v>0</v>
      </c>
      <c r="O95" s="584"/>
      <c r="P95" s="585"/>
      <c r="Q95" s="585"/>
      <c r="R95" s="585"/>
      <c r="S95" s="585"/>
      <c r="T95" s="591">
        <f>SUM(O95:S95)</f>
        <v>0</v>
      </c>
      <c r="U95" s="612">
        <f>T95+N95+I95</f>
        <v>29739.58</v>
      </c>
    </row>
    <row r="96" spans="2:21">
      <c r="C96" s="896"/>
      <c r="D96" s="558" t="s">
        <v>24</v>
      </c>
      <c r="E96" s="800">
        <v>821.02</v>
      </c>
      <c r="F96" s="801">
        <v>2191.2399999999998</v>
      </c>
      <c r="G96" s="801"/>
      <c r="H96" s="801"/>
      <c r="I96" s="784">
        <f t="shared" ref="I96:I111" si="27">SUM(E96:H96)</f>
        <v>3012.2599999999998</v>
      </c>
      <c r="J96" s="565"/>
      <c r="K96" s="555"/>
      <c r="L96" s="555"/>
      <c r="M96" s="555"/>
      <c r="N96" s="592">
        <f t="shared" ref="N96:N111" si="28">SUM(J96:M96)</f>
        <v>0</v>
      </c>
      <c r="O96" s="565"/>
      <c r="P96" s="555"/>
      <c r="Q96" s="555"/>
      <c r="R96" s="555"/>
      <c r="S96" s="555"/>
      <c r="T96" s="592">
        <f t="shared" ref="T96:T111" si="29">SUM(O96:S96)</f>
        <v>0</v>
      </c>
      <c r="U96" s="613">
        <f t="shared" ref="U96:U111" si="30">T96+N96+I96</f>
        <v>3012.2599999999998</v>
      </c>
    </row>
    <row r="97" spans="3:21">
      <c r="C97" s="896"/>
      <c r="D97" s="558" t="s">
        <v>25</v>
      </c>
      <c r="E97" s="800"/>
      <c r="F97" s="801">
        <v>807.72</v>
      </c>
      <c r="G97" s="801"/>
      <c r="H97" s="801"/>
      <c r="I97" s="784">
        <f t="shared" si="27"/>
        <v>807.72</v>
      </c>
      <c r="J97" s="565"/>
      <c r="K97" s="555"/>
      <c r="L97" s="555"/>
      <c r="M97" s="555"/>
      <c r="N97" s="592">
        <f t="shared" si="28"/>
        <v>0</v>
      </c>
      <c r="O97" s="565"/>
      <c r="P97" s="555"/>
      <c r="Q97" s="555"/>
      <c r="R97" s="555"/>
      <c r="S97" s="555"/>
      <c r="T97" s="592">
        <f t="shared" si="29"/>
        <v>0</v>
      </c>
      <c r="U97" s="613">
        <f t="shared" si="30"/>
        <v>807.72</v>
      </c>
    </row>
    <row r="98" spans="3:21">
      <c r="C98" s="896"/>
      <c r="D98" s="558" t="s">
        <v>26</v>
      </c>
      <c r="E98" s="800">
        <v>2268.58</v>
      </c>
      <c r="F98" s="801">
        <v>2482.94</v>
      </c>
      <c r="G98" s="801"/>
      <c r="H98" s="801"/>
      <c r="I98" s="784">
        <f t="shared" si="27"/>
        <v>4751.5200000000004</v>
      </c>
      <c r="J98" s="565"/>
      <c r="K98" s="555"/>
      <c r="L98" s="555"/>
      <c r="M98" s="555"/>
      <c r="N98" s="592">
        <f t="shared" si="28"/>
        <v>0</v>
      </c>
      <c r="O98" s="565"/>
      <c r="P98" s="555"/>
      <c r="Q98" s="555"/>
      <c r="R98" s="555"/>
      <c r="S98" s="555"/>
      <c r="T98" s="592">
        <f t="shared" si="29"/>
        <v>0</v>
      </c>
      <c r="U98" s="613">
        <f t="shared" si="30"/>
        <v>4751.5200000000004</v>
      </c>
    </row>
    <row r="99" spans="3:21">
      <c r="C99" s="896"/>
      <c r="D99" s="558" t="s">
        <v>85</v>
      </c>
      <c r="E99" s="800">
        <v>163.36000000000001</v>
      </c>
      <c r="F99" s="801">
        <v>332.96</v>
      </c>
      <c r="G99" s="801"/>
      <c r="H99" s="801"/>
      <c r="I99" s="784">
        <f t="shared" si="27"/>
        <v>496.32</v>
      </c>
      <c r="J99" s="565"/>
      <c r="K99" s="555"/>
      <c r="L99" s="555"/>
      <c r="M99" s="555"/>
      <c r="N99" s="592">
        <f t="shared" si="28"/>
        <v>0</v>
      </c>
      <c r="O99" s="565"/>
      <c r="P99" s="555"/>
      <c r="Q99" s="555"/>
      <c r="R99" s="555"/>
      <c r="S99" s="555"/>
      <c r="T99" s="592">
        <f t="shared" si="29"/>
        <v>0</v>
      </c>
      <c r="U99" s="613">
        <f t="shared" si="30"/>
        <v>496.32</v>
      </c>
    </row>
    <row r="100" spans="3:21">
      <c r="C100" s="896"/>
      <c r="D100" s="558" t="s">
        <v>30</v>
      </c>
      <c r="E100" s="800">
        <v>1495.95</v>
      </c>
      <c r="F100" s="801">
        <v>1578.72</v>
      </c>
      <c r="G100" s="801"/>
      <c r="H100" s="801"/>
      <c r="I100" s="784">
        <f>SUM(E100:H100)</f>
        <v>3074.67</v>
      </c>
      <c r="J100" s="565"/>
      <c r="K100" s="555"/>
      <c r="L100" s="555"/>
      <c r="M100" s="555"/>
      <c r="N100" s="592">
        <f t="shared" si="28"/>
        <v>0</v>
      </c>
      <c r="O100" s="565"/>
      <c r="P100" s="555"/>
      <c r="Q100" s="555"/>
      <c r="R100" s="555"/>
      <c r="S100" s="555"/>
      <c r="T100" s="592">
        <f t="shared" si="29"/>
        <v>0</v>
      </c>
      <c r="U100" s="613">
        <f t="shared" si="30"/>
        <v>3074.67</v>
      </c>
    </row>
    <row r="101" spans="3:21">
      <c r="C101" s="896"/>
      <c r="D101" s="558" t="s">
        <v>31</v>
      </c>
      <c r="E101" s="800">
        <v>9535.9599999999991</v>
      </c>
      <c r="F101" s="801">
        <v>6258.18</v>
      </c>
      <c r="G101" s="801"/>
      <c r="H101" s="801"/>
      <c r="I101" s="784">
        <f t="shared" si="27"/>
        <v>15794.14</v>
      </c>
      <c r="J101" s="565"/>
      <c r="K101" s="555"/>
      <c r="L101" s="555"/>
      <c r="M101" s="555"/>
      <c r="N101" s="592">
        <f t="shared" si="28"/>
        <v>0</v>
      </c>
      <c r="O101" s="565"/>
      <c r="P101" s="555"/>
      <c r="Q101" s="555"/>
      <c r="R101" s="555"/>
      <c r="S101" s="555"/>
      <c r="T101" s="592">
        <f t="shared" si="29"/>
        <v>0</v>
      </c>
      <c r="U101" s="613">
        <f t="shared" si="30"/>
        <v>15794.14</v>
      </c>
    </row>
    <row r="102" spans="3:21">
      <c r="C102" s="896"/>
      <c r="D102" s="558" t="s">
        <v>32</v>
      </c>
      <c r="E102" s="800">
        <v>344.6</v>
      </c>
      <c r="F102" s="801">
        <v>577.72</v>
      </c>
      <c r="G102" s="801"/>
      <c r="H102" s="801"/>
      <c r="I102" s="784">
        <f t="shared" si="27"/>
        <v>922.32</v>
      </c>
      <c r="J102" s="565"/>
      <c r="K102" s="555"/>
      <c r="L102" s="555"/>
      <c r="M102" s="555"/>
      <c r="N102" s="592">
        <f t="shared" si="28"/>
        <v>0</v>
      </c>
      <c r="O102" s="565"/>
      <c r="P102" s="555"/>
      <c r="Q102" s="555"/>
      <c r="R102" s="555"/>
      <c r="S102" s="555"/>
      <c r="T102" s="592">
        <f t="shared" si="29"/>
        <v>0</v>
      </c>
      <c r="U102" s="613">
        <f t="shared" si="30"/>
        <v>922.32</v>
      </c>
    </row>
    <row r="103" spans="3:21">
      <c r="C103" s="896"/>
      <c r="D103" s="558" t="s">
        <v>33</v>
      </c>
      <c r="E103" s="800">
        <f>548.95+640.07</f>
        <v>1189.02</v>
      </c>
      <c r="F103" s="801">
        <f>539.65+420.71</f>
        <v>960.3599999999999</v>
      </c>
      <c r="G103" s="801"/>
      <c r="H103" s="801"/>
      <c r="I103" s="784">
        <f t="shared" si="27"/>
        <v>2149.38</v>
      </c>
      <c r="J103" s="565"/>
      <c r="K103" s="555"/>
      <c r="L103" s="555"/>
      <c r="M103" s="555"/>
      <c r="N103" s="592">
        <f t="shared" si="28"/>
        <v>0</v>
      </c>
      <c r="O103" s="565"/>
      <c r="P103" s="555"/>
      <c r="Q103" s="555"/>
      <c r="R103" s="555"/>
      <c r="S103" s="555"/>
      <c r="T103" s="592">
        <f t="shared" si="29"/>
        <v>0</v>
      </c>
      <c r="U103" s="613">
        <f t="shared" si="30"/>
        <v>2149.38</v>
      </c>
    </row>
    <row r="104" spans="3:21">
      <c r="C104" s="896"/>
      <c r="D104" s="558" t="s">
        <v>34</v>
      </c>
      <c r="E104" s="800">
        <v>2100.79</v>
      </c>
      <c r="F104" s="801">
        <v>1670.12</v>
      </c>
      <c r="G104" s="801"/>
      <c r="H104" s="801"/>
      <c r="I104" s="784">
        <f t="shared" si="27"/>
        <v>3770.91</v>
      </c>
      <c r="J104" s="565"/>
      <c r="K104" s="555"/>
      <c r="L104" s="555"/>
      <c r="M104" s="555"/>
      <c r="N104" s="592">
        <f t="shared" si="28"/>
        <v>0</v>
      </c>
      <c r="O104" s="565"/>
      <c r="P104" s="555"/>
      <c r="Q104" s="555"/>
      <c r="R104" s="555"/>
      <c r="S104" s="555"/>
      <c r="T104" s="592">
        <f t="shared" si="29"/>
        <v>0</v>
      </c>
      <c r="U104" s="613">
        <f t="shared" si="30"/>
        <v>3770.91</v>
      </c>
    </row>
    <row r="105" spans="3:21">
      <c r="C105" s="896"/>
      <c r="D105" s="558" t="s">
        <v>35</v>
      </c>
      <c r="E105" s="800">
        <f>275.15+78.13</f>
        <v>353.28</v>
      </c>
      <c r="F105" s="801">
        <f>32.6+152.5</f>
        <v>185.1</v>
      </c>
      <c r="G105" s="801"/>
      <c r="H105" s="801"/>
      <c r="I105" s="784">
        <f t="shared" si="27"/>
        <v>538.38</v>
      </c>
      <c r="J105" s="565"/>
      <c r="K105" s="555"/>
      <c r="L105" s="555"/>
      <c r="M105" s="555"/>
      <c r="N105" s="592">
        <f t="shared" si="28"/>
        <v>0</v>
      </c>
      <c r="O105" s="565"/>
      <c r="P105" s="555"/>
      <c r="Q105" s="555"/>
      <c r="R105" s="555"/>
      <c r="S105" s="555"/>
      <c r="T105" s="592">
        <f t="shared" si="29"/>
        <v>0</v>
      </c>
      <c r="U105" s="613">
        <f t="shared" si="30"/>
        <v>538.38</v>
      </c>
    </row>
    <row r="106" spans="3:21">
      <c r="C106" s="896"/>
      <c r="D106" s="558" t="s">
        <v>52</v>
      </c>
      <c r="E106" s="800">
        <f>2014.84+103.98+179.87</f>
        <v>2298.6899999999996</v>
      </c>
      <c r="F106" s="801">
        <f>1009.47+22.65+158.97</f>
        <v>1191.0900000000001</v>
      </c>
      <c r="G106" s="801"/>
      <c r="H106" s="801"/>
      <c r="I106" s="784">
        <f t="shared" si="27"/>
        <v>3489.7799999999997</v>
      </c>
      <c r="J106" s="565"/>
      <c r="K106" s="555"/>
      <c r="L106" s="555"/>
      <c r="M106" s="555"/>
      <c r="N106" s="592">
        <f t="shared" si="28"/>
        <v>0</v>
      </c>
      <c r="O106" s="565"/>
      <c r="P106" s="555"/>
      <c r="Q106" s="555"/>
      <c r="R106" s="555"/>
      <c r="S106" s="555"/>
      <c r="T106" s="592">
        <f t="shared" si="29"/>
        <v>0</v>
      </c>
      <c r="U106" s="613">
        <f t="shared" si="30"/>
        <v>3489.7799999999997</v>
      </c>
    </row>
    <row r="107" spans="3:21">
      <c r="C107" s="896"/>
      <c r="D107" s="558" t="s">
        <v>163</v>
      </c>
      <c r="E107" s="800">
        <v>876.71</v>
      </c>
      <c r="F107" s="801">
        <v>684.97</v>
      </c>
      <c r="G107" s="801"/>
      <c r="H107" s="801"/>
      <c r="I107" s="784">
        <f t="shared" si="27"/>
        <v>1561.68</v>
      </c>
      <c r="J107" s="565"/>
      <c r="K107" s="555"/>
      <c r="L107" s="555"/>
      <c r="M107" s="555"/>
      <c r="N107" s="592">
        <f t="shared" si="28"/>
        <v>0</v>
      </c>
      <c r="O107" s="565"/>
      <c r="P107" s="555"/>
      <c r="Q107" s="555"/>
      <c r="R107" s="555"/>
      <c r="S107" s="555"/>
      <c r="T107" s="592">
        <f t="shared" si="29"/>
        <v>0</v>
      </c>
      <c r="U107" s="613">
        <f t="shared" si="30"/>
        <v>1561.68</v>
      </c>
    </row>
    <row r="108" spans="3:21">
      <c r="C108" s="896"/>
      <c r="D108" s="558" t="s">
        <v>278</v>
      </c>
      <c r="E108" s="800">
        <v>101.8</v>
      </c>
      <c r="F108" s="801">
        <v>21.27</v>
      </c>
      <c r="G108" s="801"/>
      <c r="H108" s="801"/>
      <c r="I108" s="784">
        <f t="shared" si="27"/>
        <v>123.07</v>
      </c>
      <c r="J108" s="565"/>
      <c r="K108" s="555"/>
      <c r="L108" s="555"/>
      <c r="M108" s="555"/>
      <c r="N108" s="592">
        <f t="shared" si="28"/>
        <v>0</v>
      </c>
      <c r="O108" s="565"/>
      <c r="P108" s="555"/>
      <c r="Q108" s="555"/>
      <c r="R108" s="555"/>
      <c r="S108" s="555"/>
      <c r="T108" s="592">
        <f t="shared" si="29"/>
        <v>0</v>
      </c>
      <c r="U108" s="613">
        <f t="shared" si="30"/>
        <v>123.07</v>
      </c>
    </row>
    <row r="109" spans="3:21">
      <c r="C109" s="896"/>
      <c r="D109" s="558" t="s">
        <v>165</v>
      </c>
      <c r="E109" s="800">
        <f>675.48+285.48</f>
        <v>960.96</v>
      </c>
      <c r="F109" s="801">
        <f>883.52+516.37</f>
        <v>1399.8899999999999</v>
      </c>
      <c r="G109" s="801"/>
      <c r="H109" s="801"/>
      <c r="I109" s="784">
        <f t="shared" si="27"/>
        <v>2360.85</v>
      </c>
      <c r="J109" s="565"/>
      <c r="K109" s="555"/>
      <c r="L109" s="555"/>
      <c r="M109" s="555"/>
      <c r="N109" s="592">
        <f t="shared" si="28"/>
        <v>0</v>
      </c>
      <c r="O109" s="565"/>
      <c r="P109" s="555"/>
      <c r="Q109" s="555"/>
      <c r="R109" s="555"/>
      <c r="S109" s="555"/>
      <c r="T109" s="592">
        <f t="shared" si="29"/>
        <v>0</v>
      </c>
      <c r="U109" s="613">
        <f t="shared" si="30"/>
        <v>2360.85</v>
      </c>
    </row>
    <row r="110" spans="3:21">
      <c r="C110" s="896"/>
      <c r="D110" s="558" t="s">
        <v>221</v>
      </c>
      <c r="E110" s="800"/>
      <c r="F110" s="801"/>
      <c r="G110" s="801"/>
      <c r="H110" s="801"/>
      <c r="I110" s="784">
        <f t="shared" si="27"/>
        <v>0</v>
      </c>
      <c r="J110" s="565"/>
      <c r="K110" s="555"/>
      <c r="L110" s="555"/>
      <c r="M110" s="555"/>
      <c r="N110" s="592">
        <f t="shared" si="28"/>
        <v>0</v>
      </c>
      <c r="O110" s="565"/>
      <c r="P110" s="555"/>
      <c r="Q110" s="555"/>
      <c r="R110" s="555"/>
      <c r="S110" s="555"/>
      <c r="T110" s="592">
        <f t="shared" si="29"/>
        <v>0</v>
      </c>
      <c r="U110" s="613">
        <f t="shared" si="30"/>
        <v>0</v>
      </c>
    </row>
    <row r="111" spans="3:21" ht="15.75" thickBot="1">
      <c r="C111" s="897"/>
      <c r="D111" s="586" t="s">
        <v>166</v>
      </c>
      <c r="E111" s="802">
        <v>38.29</v>
      </c>
      <c r="F111" s="803"/>
      <c r="G111" s="803"/>
      <c r="H111" s="803"/>
      <c r="I111" s="787">
        <f t="shared" si="27"/>
        <v>38.29</v>
      </c>
      <c r="J111" s="566"/>
      <c r="K111" s="567"/>
      <c r="L111" s="567"/>
      <c r="M111" s="567"/>
      <c r="N111" s="593">
        <f t="shared" si="28"/>
        <v>0</v>
      </c>
      <c r="O111" s="566"/>
      <c r="P111" s="567"/>
      <c r="Q111" s="567"/>
      <c r="R111" s="567"/>
      <c r="S111" s="567"/>
      <c r="T111" s="593">
        <f t="shared" si="29"/>
        <v>0</v>
      </c>
      <c r="U111" s="599">
        <f t="shared" si="30"/>
        <v>38.29</v>
      </c>
    </row>
    <row r="112" spans="3:21" ht="15.75" thickBot="1">
      <c r="E112" s="36"/>
      <c r="F112" s="36"/>
      <c r="G112" s="36"/>
      <c r="H112" s="36"/>
      <c r="I112" s="36"/>
    </row>
    <row r="113" spans="3:21">
      <c r="C113" s="881" t="s">
        <v>279</v>
      </c>
      <c r="D113" s="583" t="s">
        <v>29</v>
      </c>
      <c r="E113" s="798">
        <f>SUM(E118:E124)</f>
        <v>4693.43</v>
      </c>
      <c r="F113" s="799">
        <f t="shared" ref="F113:H113" si="31">SUM(F118:F124)</f>
        <v>3298.03</v>
      </c>
      <c r="G113" s="799">
        <f t="shared" si="31"/>
        <v>0</v>
      </c>
      <c r="H113" s="799">
        <f t="shared" si="31"/>
        <v>0</v>
      </c>
      <c r="I113" s="781">
        <f>SUM(E113:H113)</f>
        <v>7991.4600000000009</v>
      </c>
      <c r="J113" s="668"/>
      <c r="K113" s="585"/>
      <c r="L113" s="585"/>
      <c r="M113" s="585"/>
      <c r="N113" s="591">
        <f>SUM(J113:M113)</f>
        <v>0</v>
      </c>
      <c r="O113" s="584"/>
      <c r="P113" s="585"/>
      <c r="Q113" s="585"/>
      <c r="R113" s="585"/>
      <c r="S113" s="585"/>
      <c r="T113" s="591">
        <f>SUM(O113:S113)</f>
        <v>0</v>
      </c>
      <c r="U113" s="612">
        <f>T113+N113+I113</f>
        <v>7991.4600000000009</v>
      </c>
    </row>
    <row r="114" spans="3:21">
      <c r="C114" s="882"/>
      <c r="D114" s="558" t="s">
        <v>24</v>
      </c>
      <c r="E114" s="800">
        <v>13825.76</v>
      </c>
      <c r="F114" s="801">
        <v>14304.32</v>
      </c>
      <c r="G114" s="801"/>
      <c r="H114" s="801"/>
      <c r="I114" s="784">
        <f t="shared" ref="I114:I124" si="32">SUM(E114:H114)</f>
        <v>28130.080000000002</v>
      </c>
      <c r="J114" s="667"/>
      <c r="K114" s="555"/>
      <c r="L114" s="555"/>
      <c r="M114" s="555"/>
      <c r="N114" s="592">
        <f t="shared" ref="N114:N124" si="33">SUM(J114:M114)</f>
        <v>0</v>
      </c>
      <c r="O114" s="565"/>
      <c r="P114" s="555"/>
      <c r="Q114" s="555"/>
      <c r="R114" s="555"/>
      <c r="S114" s="555"/>
      <c r="T114" s="592">
        <f t="shared" ref="T114:T124" si="34">SUM(O114:S114)</f>
        <v>0</v>
      </c>
      <c r="U114" s="613">
        <f t="shared" ref="U114:U124" si="35">T114+N114+I114</f>
        <v>28130.080000000002</v>
      </c>
    </row>
    <row r="115" spans="3:21">
      <c r="C115" s="882"/>
      <c r="D115" s="558" t="s">
        <v>25</v>
      </c>
      <c r="E115" s="800">
        <v>2284.71</v>
      </c>
      <c r="F115" s="801">
        <v>2641.15</v>
      </c>
      <c r="G115" s="801"/>
      <c r="H115" s="801"/>
      <c r="I115" s="784">
        <f t="shared" si="32"/>
        <v>4925.8600000000006</v>
      </c>
      <c r="J115" s="667"/>
      <c r="K115" s="555"/>
      <c r="L115" s="555"/>
      <c r="M115" s="555"/>
      <c r="N115" s="592">
        <f t="shared" si="33"/>
        <v>0</v>
      </c>
      <c r="O115" s="565"/>
      <c r="P115" s="555"/>
      <c r="Q115" s="555"/>
      <c r="R115" s="555"/>
      <c r="S115" s="555"/>
      <c r="T115" s="592">
        <f t="shared" si="34"/>
        <v>0</v>
      </c>
      <c r="U115" s="613">
        <f t="shared" si="35"/>
        <v>4925.8600000000006</v>
      </c>
    </row>
    <row r="116" spans="3:21">
      <c r="C116" s="882"/>
      <c r="D116" s="558" t="s">
        <v>26</v>
      </c>
      <c r="E116" s="800">
        <v>16157.19</v>
      </c>
      <c r="F116" s="801">
        <v>17174.150000000001</v>
      </c>
      <c r="G116" s="801"/>
      <c r="H116" s="801"/>
      <c r="I116" s="784">
        <f t="shared" si="32"/>
        <v>33331.340000000004</v>
      </c>
      <c r="J116" s="667"/>
      <c r="K116" s="555"/>
      <c r="L116" s="555"/>
      <c r="M116" s="555"/>
      <c r="N116" s="592">
        <f t="shared" si="33"/>
        <v>0</v>
      </c>
      <c r="O116" s="565"/>
      <c r="P116" s="555"/>
      <c r="Q116" s="555"/>
      <c r="R116" s="555"/>
      <c r="S116" s="555"/>
      <c r="T116" s="592">
        <f t="shared" si="34"/>
        <v>0</v>
      </c>
      <c r="U116" s="613">
        <f t="shared" si="35"/>
        <v>33331.340000000004</v>
      </c>
    </row>
    <row r="117" spans="3:21">
      <c r="C117" s="882"/>
      <c r="D117" s="558" t="s">
        <v>85</v>
      </c>
      <c r="E117" s="800">
        <v>1262.33</v>
      </c>
      <c r="F117" s="801">
        <v>1383.74</v>
      </c>
      <c r="G117" s="801"/>
      <c r="H117" s="801"/>
      <c r="I117" s="784">
        <f t="shared" si="32"/>
        <v>2646.0699999999997</v>
      </c>
      <c r="J117" s="667"/>
      <c r="K117" s="555"/>
      <c r="L117" s="555"/>
      <c r="M117" s="555"/>
      <c r="N117" s="592">
        <f t="shared" si="33"/>
        <v>0</v>
      </c>
      <c r="O117" s="565"/>
      <c r="P117" s="555"/>
      <c r="Q117" s="555"/>
      <c r="R117" s="555"/>
      <c r="S117" s="555"/>
      <c r="T117" s="592">
        <f t="shared" si="34"/>
        <v>0</v>
      </c>
      <c r="U117" s="613">
        <f t="shared" si="35"/>
        <v>2646.0699999999997</v>
      </c>
    </row>
    <row r="118" spans="3:21">
      <c r="C118" s="882"/>
      <c r="D118" s="558" t="s">
        <v>30</v>
      </c>
      <c r="E118" s="800">
        <v>1248.55</v>
      </c>
      <c r="F118" s="801">
        <v>1655.75</v>
      </c>
      <c r="G118" s="801"/>
      <c r="H118" s="801"/>
      <c r="I118" s="784">
        <f t="shared" si="32"/>
        <v>2904.3</v>
      </c>
      <c r="J118" s="667"/>
      <c r="K118" s="555"/>
      <c r="L118" s="555"/>
      <c r="M118" s="555"/>
      <c r="N118" s="592">
        <f t="shared" si="33"/>
        <v>0</v>
      </c>
      <c r="O118" s="565"/>
      <c r="P118" s="555"/>
      <c r="Q118" s="555"/>
      <c r="R118" s="555"/>
      <c r="S118" s="555"/>
      <c r="T118" s="592">
        <f t="shared" si="34"/>
        <v>0</v>
      </c>
      <c r="U118" s="613">
        <f t="shared" si="35"/>
        <v>2904.3</v>
      </c>
    </row>
    <row r="119" spans="3:21">
      <c r="C119" s="882"/>
      <c r="D119" s="558" t="s">
        <v>31</v>
      </c>
      <c r="E119" s="800">
        <v>3209.07</v>
      </c>
      <c r="F119" s="801">
        <v>1512.34</v>
      </c>
      <c r="G119" s="801"/>
      <c r="H119" s="801"/>
      <c r="I119" s="784">
        <f t="shared" si="32"/>
        <v>4721.41</v>
      </c>
      <c r="J119" s="667"/>
      <c r="K119" s="555"/>
      <c r="L119" s="555"/>
      <c r="M119" s="555"/>
      <c r="N119" s="592">
        <f t="shared" si="33"/>
        <v>0</v>
      </c>
      <c r="O119" s="565"/>
      <c r="P119" s="555"/>
      <c r="Q119" s="555"/>
      <c r="R119" s="555"/>
      <c r="S119" s="555"/>
      <c r="T119" s="592">
        <f t="shared" si="34"/>
        <v>0</v>
      </c>
      <c r="U119" s="613">
        <f t="shared" si="35"/>
        <v>4721.41</v>
      </c>
    </row>
    <row r="120" spans="3:21">
      <c r="C120" s="882"/>
      <c r="D120" s="558" t="s">
        <v>32</v>
      </c>
      <c r="E120" s="800">
        <v>235.81</v>
      </c>
      <c r="F120" s="801">
        <v>129.94</v>
      </c>
      <c r="G120" s="801"/>
      <c r="H120" s="801"/>
      <c r="I120" s="784">
        <f t="shared" si="32"/>
        <v>365.75</v>
      </c>
      <c r="J120" s="667"/>
      <c r="K120" s="555"/>
      <c r="L120" s="555"/>
      <c r="M120" s="555"/>
      <c r="N120" s="592">
        <f t="shared" si="33"/>
        <v>0</v>
      </c>
      <c r="O120" s="565"/>
      <c r="P120" s="555"/>
      <c r="Q120" s="555"/>
      <c r="R120" s="555"/>
      <c r="S120" s="555"/>
      <c r="T120" s="592">
        <f t="shared" si="34"/>
        <v>0</v>
      </c>
      <c r="U120" s="613">
        <f t="shared" si="35"/>
        <v>365.75</v>
      </c>
    </row>
    <row r="121" spans="3:21">
      <c r="C121" s="882"/>
      <c r="D121" s="558" t="s">
        <v>33</v>
      </c>
      <c r="E121" s="800"/>
      <c r="F121" s="801"/>
      <c r="G121" s="801"/>
      <c r="H121" s="801"/>
      <c r="I121" s="784">
        <f t="shared" si="32"/>
        <v>0</v>
      </c>
      <c r="J121" s="667"/>
      <c r="K121" s="555"/>
      <c r="L121" s="555"/>
      <c r="M121" s="555"/>
      <c r="N121" s="592">
        <f t="shared" si="33"/>
        <v>0</v>
      </c>
      <c r="O121" s="565"/>
      <c r="P121" s="555"/>
      <c r="Q121" s="555"/>
      <c r="R121" s="555"/>
      <c r="S121" s="555"/>
      <c r="T121" s="592">
        <f t="shared" si="34"/>
        <v>0</v>
      </c>
      <c r="U121" s="613">
        <f t="shared" si="35"/>
        <v>0</v>
      </c>
    </row>
    <row r="122" spans="3:21">
      <c r="C122" s="882"/>
      <c r="D122" s="558" t="s">
        <v>34</v>
      </c>
      <c r="E122" s="800"/>
      <c r="F122" s="801"/>
      <c r="G122" s="801"/>
      <c r="H122" s="801"/>
      <c r="I122" s="784">
        <f t="shared" si="32"/>
        <v>0</v>
      </c>
      <c r="J122" s="667"/>
      <c r="K122" s="555"/>
      <c r="L122" s="555"/>
      <c r="M122" s="555"/>
      <c r="N122" s="592">
        <f t="shared" si="33"/>
        <v>0</v>
      </c>
      <c r="O122" s="565"/>
      <c r="P122" s="555"/>
      <c r="Q122" s="555"/>
      <c r="R122" s="555"/>
      <c r="S122" s="555"/>
      <c r="T122" s="592">
        <f t="shared" si="34"/>
        <v>0</v>
      </c>
      <c r="U122" s="613">
        <f t="shared" si="35"/>
        <v>0</v>
      </c>
    </row>
    <row r="123" spans="3:21">
      <c r="C123" s="882"/>
      <c r="D123" s="558" t="s">
        <v>35</v>
      </c>
      <c r="E123" s="800"/>
      <c r="F123" s="801"/>
      <c r="G123" s="801"/>
      <c r="H123" s="801"/>
      <c r="I123" s="784">
        <f t="shared" si="32"/>
        <v>0</v>
      </c>
      <c r="J123" s="667"/>
      <c r="K123" s="555"/>
      <c r="L123" s="555"/>
      <c r="M123" s="555"/>
      <c r="N123" s="592">
        <f t="shared" si="33"/>
        <v>0</v>
      </c>
      <c r="O123" s="565"/>
      <c r="P123" s="555"/>
      <c r="Q123" s="555"/>
      <c r="R123" s="555"/>
      <c r="S123" s="555"/>
      <c r="T123" s="592">
        <f t="shared" si="34"/>
        <v>0</v>
      </c>
      <c r="U123" s="613">
        <f t="shared" si="35"/>
        <v>0</v>
      </c>
    </row>
    <row r="124" spans="3:21" ht="15.75" thickBot="1">
      <c r="C124" s="883"/>
      <c r="D124" s="586" t="s">
        <v>52</v>
      </c>
      <c r="E124" s="804"/>
      <c r="F124" s="805"/>
      <c r="G124" s="805"/>
      <c r="H124" s="805"/>
      <c r="I124" s="806">
        <f t="shared" si="32"/>
        <v>0</v>
      </c>
      <c r="J124" s="669"/>
      <c r="K124" s="567"/>
      <c r="L124" s="567"/>
      <c r="M124" s="567"/>
      <c r="N124" s="593">
        <f t="shared" si="33"/>
        <v>0</v>
      </c>
      <c r="O124" s="566"/>
      <c r="P124" s="567"/>
      <c r="Q124" s="567"/>
      <c r="R124" s="567"/>
      <c r="S124" s="567"/>
      <c r="T124" s="593">
        <f t="shared" si="34"/>
        <v>0</v>
      </c>
      <c r="U124" s="599">
        <f t="shared" si="35"/>
        <v>0</v>
      </c>
    </row>
    <row r="125" spans="3:21" ht="15.75" thickBot="1">
      <c r="E125" s="36"/>
      <c r="F125" s="36"/>
      <c r="G125" s="36"/>
      <c r="H125" s="36"/>
      <c r="I125" s="36"/>
    </row>
    <row r="126" spans="3:21">
      <c r="C126" s="881" t="s">
        <v>280</v>
      </c>
      <c r="D126" s="583" t="s">
        <v>29</v>
      </c>
      <c r="E126" s="798">
        <f>SUM(E131:E138)</f>
        <v>10499.74</v>
      </c>
      <c r="F126" s="799">
        <f t="shared" ref="F126:H126" si="36">SUM(F131:F138)</f>
        <v>8353.1299999999992</v>
      </c>
      <c r="G126" s="799">
        <f t="shared" si="36"/>
        <v>0</v>
      </c>
      <c r="H126" s="799">
        <f t="shared" si="36"/>
        <v>0</v>
      </c>
      <c r="I126" s="781">
        <f>SUM(E126:H126)</f>
        <v>18852.87</v>
      </c>
      <c r="J126" s="584"/>
      <c r="K126" s="585"/>
      <c r="L126" s="585"/>
      <c r="M126" s="585"/>
      <c r="N126" s="591">
        <f>SUM(J126:M126)</f>
        <v>0</v>
      </c>
      <c r="O126" s="584"/>
      <c r="P126" s="585"/>
      <c r="Q126" s="585"/>
      <c r="R126" s="585"/>
      <c r="S126" s="585"/>
      <c r="T126" s="591">
        <f>SUM(O126:S126)</f>
        <v>0</v>
      </c>
      <c r="U126" s="612">
        <f>T126+N126+I126</f>
        <v>18852.87</v>
      </c>
    </row>
    <row r="127" spans="3:21">
      <c r="C127" s="882"/>
      <c r="D127" s="558" t="s">
        <v>24</v>
      </c>
      <c r="E127" s="800">
        <v>1875.44</v>
      </c>
      <c r="F127" s="801">
        <v>1842.82</v>
      </c>
      <c r="G127" s="801"/>
      <c r="H127" s="801"/>
      <c r="I127" s="784">
        <f t="shared" ref="I127:I138" si="37">SUM(E127:H127)</f>
        <v>3718.26</v>
      </c>
      <c r="J127" s="565"/>
      <c r="K127" s="555"/>
      <c r="L127" s="555"/>
      <c r="M127" s="555"/>
      <c r="N127" s="592">
        <f t="shared" ref="N127:N138" si="38">SUM(J127:M127)</f>
        <v>0</v>
      </c>
      <c r="O127" s="565"/>
      <c r="P127" s="555"/>
      <c r="Q127" s="555"/>
      <c r="R127" s="555"/>
      <c r="S127" s="555"/>
      <c r="T127" s="592">
        <f t="shared" ref="T127:T138" si="39">SUM(O127:S127)</f>
        <v>0</v>
      </c>
      <c r="U127" s="613">
        <f t="shared" ref="U127:U138" si="40">T127+N127+I127</f>
        <v>3718.26</v>
      </c>
    </row>
    <row r="128" spans="3:21">
      <c r="C128" s="882"/>
      <c r="D128" s="558" t="s">
        <v>25</v>
      </c>
      <c r="E128" s="800">
        <v>492.43</v>
      </c>
      <c r="F128" s="801">
        <v>390.5</v>
      </c>
      <c r="G128" s="801"/>
      <c r="H128" s="801"/>
      <c r="I128" s="784">
        <f t="shared" si="37"/>
        <v>882.93000000000006</v>
      </c>
      <c r="J128" s="565"/>
      <c r="K128" s="555"/>
      <c r="L128" s="555"/>
      <c r="M128" s="555"/>
      <c r="N128" s="592">
        <f t="shared" si="38"/>
        <v>0</v>
      </c>
      <c r="O128" s="565"/>
      <c r="P128" s="555"/>
      <c r="Q128" s="555"/>
      <c r="R128" s="555"/>
      <c r="S128" s="555"/>
      <c r="T128" s="592">
        <f t="shared" si="39"/>
        <v>0</v>
      </c>
      <c r="U128" s="613">
        <f t="shared" si="40"/>
        <v>882.93000000000006</v>
      </c>
    </row>
    <row r="129" spans="3:21">
      <c r="C129" s="882"/>
      <c r="D129" s="558" t="s">
        <v>26</v>
      </c>
      <c r="E129" s="800">
        <f>1575.44+320+176+160</f>
        <v>2231.44</v>
      </c>
      <c r="F129" s="801">
        <v>1291.2</v>
      </c>
      <c r="G129" s="801"/>
      <c r="H129" s="801"/>
      <c r="I129" s="784">
        <f t="shared" si="37"/>
        <v>3522.6400000000003</v>
      </c>
      <c r="J129" s="565"/>
      <c r="K129" s="555"/>
      <c r="L129" s="555"/>
      <c r="M129" s="555"/>
      <c r="N129" s="592">
        <f t="shared" si="38"/>
        <v>0</v>
      </c>
      <c r="O129" s="565"/>
      <c r="P129" s="555"/>
      <c r="Q129" s="555"/>
      <c r="R129" s="555"/>
      <c r="S129" s="555"/>
      <c r="T129" s="592">
        <f t="shared" si="39"/>
        <v>0</v>
      </c>
      <c r="U129" s="613">
        <f t="shared" si="40"/>
        <v>3522.6400000000003</v>
      </c>
    </row>
    <row r="130" spans="3:21">
      <c r="C130" s="882"/>
      <c r="D130" s="558" t="s">
        <v>85</v>
      </c>
      <c r="E130" s="800">
        <v>179.32</v>
      </c>
      <c r="F130" s="801">
        <v>146.32</v>
      </c>
      <c r="G130" s="801"/>
      <c r="H130" s="801"/>
      <c r="I130" s="784">
        <f t="shared" si="37"/>
        <v>325.64</v>
      </c>
      <c r="J130" s="565"/>
      <c r="K130" s="555"/>
      <c r="L130" s="555"/>
      <c r="M130" s="555"/>
      <c r="N130" s="592">
        <f t="shared" si="38"/>
        <v>0</v>
      </c>
      <c r="O130" s="565"/>
      <c r="P130" s="555"/>
      <c r="Q130" s="555"/>
      <c r="R130" s="555"/>
      <c r="S130" s="555"/>
      <c r="T130" s="592">
        <f t="shared" si="39"/>
        <v>0</v>
      </c>
      <c r="U130" s="613">
        <f t="shared" si="40"/>
        <v>325.64</v>
      </c>
    </row>
    <row r="131" spans="3:21">
      <c r="C131" s="882"/>
      <c r="D131" s="558" t="s">
        <v>30</v>
      </c>
      <c r="E131" s="800">
        <v>1397.42</v>
      </c>
      <c r="F131" s="801">
        <v>724.45</v>
      </c>
      <c r="G131" s="801"/>
      <c r="H131" s="801"/>
      <c r="I131" s="784">
        <f t="shared" si="37"/>
        <v>2121.87</v>
      </c>
      <c r="J131" s="565"/>
      <c r="K131" s="555"/>
      <c r="L131" s="555"/>
      <c r="M131" s="555"/>
      <c r="N131" s="592">
        <f t="shared" si="38"/>
        <v>0</v>
      </c>
      <c r="O131" s="565"/>
      <c r="P131" s="555"/>
      <c r="Q131" s="555"/>
      <c r="R131" s="555"/>
      <c r="S131" s="555"/>
      <c r="T131" s="592">
        <f t="shared" si="39"/>
        <v>0</v>
      </c>
      <c r="U131" s="613">
        <f t="shared" si="40"/>
        <v>2121.87</v>
      </c>
    </row>
    <row r="132" spans="3:21">
      <c r="C132" s="882"/>
      <c r="D132" s="558" t="s">
        <v>31</v>
      </c>
      <c r="E132" s="800">
        <v>8849.92</v>
      </c>
      <c r="F132" s="801">
        <v>7208.72</v>
      </c>
      <c r="G132" s="801"/>
      <c r="H132" s="801"/>
      <c r="I132" s="784">
        <f t="shared" si="37"/>
        <v>16058.64</v>
      </c>
      <c r="J132" s="565"/>
      <c r="K132" s="555"/>
      <c r="L132" s="555"/>
      <c r="M132" s="555"/>
      <c r="N132" s="592">
        <f t="shared" si="38"/>
        <v>0</v>
      </c>
      <c r="O132" s="565"/>
      <c r="P132" s="555"/>
      <c r="Q132" s="555"/>
      <c r="R132" s="555"/>
      <c r="S132" s="555"/>
      <c r="T132" s="592">
        <f t="shared" si="39"/>
        <v>0</v>
      </c>
      <c r="U132" s="613">
        <f t="shared" si="40"/>
        <v>16058.64</v>
      </c>
    </row>
    <row r="133" spans="3:21">
      <c r="C133" s="882"/>
      <c r="D133" s="558" t="s">
        <v>32</v>
      </c>
      <c r="E133" s="800">
        <v>252.4</v>
      </c>
      <c r="F133" s="801">
        <v>419.96</v>
      </c>
      <c r="G133" s="801"/>
      <c r="H133" s="801"/>
      <c r="I133" s="784">
        <f t="shared" si="37"/>
        <v>672.36</v>
      </c>
      <c r="J133" s="565"/>
      <c r="K133" s="555"/>
      <c r="L133" s="555"/>
      <c r="M133" s="555"/>
      <c r="N133" s="592">
        <f t="shared" si="38"/>
        <v>0</v>
      </c>
      <c r="O133" s="565"/>
      <c r="P133" s="555"/>
      <c r="Q133" s="555"/>
      <c r="R133" s="555"/>
      <c r="S133" s="555"/>
      <c r="T133" s="592">
        <f t="shared" si="39"/>
        <v>0</v>
      </c>
      <c r="U133" s="613">
        <f t="shared" si="40"/>
        <v>672.36</v>
      </c>
    </row>
    <row r="134" spans="3:21">
      <c r="C134" s="882"/>
      <c r="D134" s="558" t="s">
        <v>33</v>
      </c>
      <c r="E134" s="800"/>
      <c r="F134" s="801"/>
      <c r="G134" s="801"/>
      <c r="H134" s="801"/>
      <c r="I134" s="784">
        <f t="shared" si="37"/>
        <v>0</v>
      </c>
      <c r="J134" s="565"/>
      <c r="K134" s="555"/>
      <c r="L134" s="555"/>
      <c r="M134" s="555"/>
      <c r="N134" s="592">
        <f t="shared" si="38"/>
        <v>0</v>
      </c>
      <c r="O134" s="565"/>
      <c r="P134" s="555"/>
      <c r="Q134" s="555"/>
      <c r="R134" s="555"/>
      <c r="S134" s="555"/>
      <c r="T134" s="592">
        <f t="shared" si="39"/>
        <v>0</v>
      </c>
      <c r="U134" s="613">
        <f t="shared" si="40"/>
        <v>0</v>
      </c>
    </row>
    <row r="135" spans="3:21" ht="15" hidden="1" customHeight="1">
      <c r="C135" s="882"/>
      <c r="D135" s="558" t="s">
        <v>281</v>
      </c>
      <c r="E135" s="800"/>
      <c r="F135" s="801"/>
      <c r="G135" s="801"/>
      <c r="H135" s="801"/>
      <c r="I135" s="784">
        <f t="shared" si="37"/>
        <v>0</v>
      </c>
      <c r="J135" s="565"/>
      <c r="K135" s="555"/>
      <c r="L135" s="555"/>
      <c r="M135" s="555"/>
      <c r="N135" s="592">
        <f t="shared" si="38"/>
        <v>0</v>
      </c>
      <c r="O135" s="565"/>
      <c r="P135" s="555"/>
      <c r="Q135" s="555"/>
      <c r="R135" s="555"/>
      <c r="S135" s="555"/>
      <c r="T135" s="592">
        <f t="shared" si="39"/>
        <v>0</v>
      </c>
      <c r="U135" s="613">
        <f t="shared" si="40"/>
        <v>0</v>
      </c>
    </row>
    <row r="136" spans="3:21">
      <c r="C136" s="882"/>
      <c r="D136" s="558" t="s">
        <v>34</v>
      </c>
      <c r="E136" s="800"/>
      <c r="F136" s="801"/>
      <c r="G136" s="801"/>
      <c r="H136" s="801"/>
      <c r="I136" s="784">
        <f t="shared" si="37"/>
        <v>0</v>
      </c>
      <c r="J136" s="565"/>
      <c r="K136" s="555"/>
      <c r="L136" s="555"/>
      <c r="M136" s="555"/>
      <c r="N136" s="592">
        <f t="shared" si="38"/>
        <v>0</v>
      </c>
      <c r="O136" s="565"/>
      <c r="P136" s="555"/>
      <c r="Q136" s="555"/>
      <c r="R136" s="555"/>
      <c r="S136" s="555"/>
      <c r="T136" s="592">
        <f t="shared" si="39"/>
        <v>0</v>
      </c>
      <c r="U136" s="613">
        <f t="shared" si="40"/>
        <v>0</v>
      </c>
    </row>
    <row r="137" spans="3:21">
      <c r="C137" s="882"/>
      <c r="D137" s="558" t="s">
        <v>35</v>
      </c>
      <c r="E137" s="800"/>
      <c r="F137" s="801"/>
      <c r="G137" s="801"/>
      <c r="H137" s="801"/>
      <c r="I137" s="784">
        <f t="shared" si="37"/>
        <v>0</v>
      </c>
      <c r="J137" s="565"/>
      <c r="K137" s="555"/>
      <c r="L137" s="555"/>
      <c r="M137" s="555"/>
      <c r="N137" s="592">
        <f t="shared" si="38"/>
        <v>0</v>
      </c>
      <c r="O137" s="565"/>
      <c r="P137" s="555"/>
      <c r="Q137" s="555"/>
      <c r="R137" s="555"/>
      <c r="S137" s="555"/>
      <c r="T137" s="592">
        <f t="shared" si="39"/>
        <v>0</v>
      </c>
      <c r="U137" s="613">
        <f t="shared" si="40"/>
        <v>0</v>
      </c>
    </row>
    <row r="138" spans="3:21" ht="15.75" thickBot="1">
      <c r="C138" s="883"/>
      <c r="D138" s="586" t="s">
        <v>52</v>
      </c>
      <c r="E138" s="802"/>
      <c r="F138" s="803"/>
      <c r="G138" s="803"/>
      <c r="H138" s="803"/>
      <c r="I138" s="806">
        <f t="shared" si="37"/>
        <v>0</v>
      </c>
      <c r="J138" s="566"/>
      <c r="K138" s="567"/>
      <c r="L138" s="567"/>
      <c r="M138" s="567"/>
      <c r="N138" s="593">
        <f t="shared" si="38"/>
        <v>0</v>
      </c>
      <c r="O138" s="566"/>
      <c r="P138" s="567"/>
      <c r="Q138" s="567"/>
      <c r="R138" s="567"/>
      <c r="S138" s="567"/>
      <c r="T138" s="593">
        <f t="shared" si="39"/>
        <v>0</v>
      </c>
      <c r="U138" s="599">
        <f t="shared" si="40"/>
        <v>0</v>
      </c>
    </row>
  </sheetData>
  <mergeCells count="25">
    <mergeCell ref="B34:B93"/>
    <mergeCell ref="E2:G2"/>
    <mergeCell ref="C95:C111"/>
    <mergeCell ref="C113:C124"/>
    <mergeCell ref="C42:C45"/>
    <mergeCell ref="C46:C49"/>
    <mergeCell ref="C50:C53"/>
    <mergeCell ref="C54:C57"/>
    <mergeCell ref="C58:C61"/>
    <mergeCell ref="C62:C65"/>
    <mergeCell ref="C8:C14"/>
    <mergeCell ref="C16:C32"/>
    <mergeCell ref="C34:C37"/>
    <mergeCell ref="C38:C41"/>
    <mergeCell ref="E4:I4"/>
    <mergeCell ref="J4:N4"/>
    <mergeCell ref="O4:T4"/>
    <mergeCell ref="C126:C138"/>
    <mergeCell ref="C66:C69"/>
    <mergeCell ref="C70:C73"/>
    <mergeCell ref="C74:C77"/>
    <mergeCell ref="C78:C81"/>
    <mergeCell ref="C82:C85"/>
    <mergeCell ref="C86:C89"/>
    <mergeCell ref="C90:C9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72"/>
  <sheetViews>
    <sheetView workbookViewId="0">
      <selection activeCell="D50" sqref="D50"/>
    </sheetView>
  </sheetViews>
  <sheetFormatPr defaultRowHeight="15"/>
  <sheetData>
    <row r="1" spans="2:31" ht="15.75" thickBot="1"/>
    <row r="2" spans="2:31" ht="15.75" thickBot="1">
      <c r="B2" s="1" t="s">
        <v>20</v>
      </c>
      <c r="C2" s="901" t="s">
        <v>284</v>
      </c>
      <c r="D2" s="902"/>
      <c r="I2" s="901" t="str">
        <f>C2</f>
        <v>Fish</v>
      </c>
      <c r="J2" s="902"/>
      <c r="O2" s="901" t="str">
        <f>I2</f>
        <v>Fish</v>
      </c>
      <c r="P2" s="902"/>
      <c r="U2" s="901" t="str">
        <f>O2</f>
        <v>Fish</v>
      </c>
      <c r="V2" s="902"/>
      <c r="AA2" s="901" t="str">
        <f>U2</f>
        <v>Fish</v>
      </c>
      <c r="AB2" s="902"/>
    </row>
    <row r="3" spans="2:31" ht="15.75" thickBot="1">
      <c r="B3" s="1" t="s">
        <v>44</v>
      </c>
      <c r="C3" s="903">
        <f>'W1 Forecast'!J14</f>
        <v>44227</v>
      </c>
      <c r="D3" s="904"/>
      <c r="I3" s="903">
        <f>C3+7</f>
        <v>44234</v>
      </c>
      <c r="J3" s="904"/>
      <c r="O3" s="903">
        <f>I3+7</f>
        <v>44241</v>
      </c>
      <c r="P3" s="904"/>
      <c r="U3" s="903">
        <f>O3+7</f>
        <v>44248</v>
      </c>
      <c r="V3" s="904"/>
      <c r="AA3" s="903">
        <f>U3</f>
        <v>44248</v>
      </c>
      <c r="AB3" s="904"/>
    </row>
    <row r="4" spans="2:31" ht="15.75" thickBot="1">
      <c r="B4" s="430" t="s">
        <v>21</v>
      </c>
      <c r="C4" s="476">
        <f>'W1 Forecast'!E3</f>
        <v>2</v>
      </c>
      <c r="D4" s="475" t="s">
        <v>87</v>
      </c>
      <c r="E4" s="477">
        <f>'W1 Cost &amp; Sales'!F6</f>
        <v>1</v>
      </c>
      <c r="I4" s="476">
        <f>C4</f>
        <v>2</v>
      </c>
      <c r="J4" s="475" t="s">
        <v>87</v>
      </c>
      <c r="K4" s="477">
        <v>2</v>
      </c>
      <c r="O4" s="476">
        <f>C4</f>
        <v>2</v>
      </c>
      <c r="P4" s="475" t="s">
        <v>87</v>
      </c>
      <c r="Q4" s="477">
        <v>3</v>
      </c>
      <c r="U4" s="476">
        <f>C4</f>
        <v>2</v>
      </c>
      <c r="V4" s="475" t="s">
        <v>87</v>
      </c>
      <c r="W4" s="477">
        <v>4</v>
      </c>
      <c r="AA4" s="476">
        <f>U4</f>
        <v>2</v>
      </c>
      <c r="AB4" s="475" t="s">
        <v>87</v>
      </c>
      <c r="AC4" s="477" t="s">
        <v>88</v>
      </c>
    </row>
    <row r="5" spans="2:31" ht="15.75" thickBot="1"/>
    <row r="6" spans="2:31" ht="15.75">
      <c r="B6" s="431" t="s">
        <v>227</v>
      </c>
      <c r="C6" s="480"/>
      <c r="D6" s="429" t="s">
        <v>1</v>
      </c>
      <c r="E6" s="745"/>
      <c r="F6" s="479" t="s">
        <v>49</v>
      </c>
      <c r="G6" s="429" t="s">
        <v>51</v>
      </c>
      <c r="I6" s="480"/>
      <c r="J6" s="429" t="s">
        <v>1</v>
      </c>
      <c r="K6" s="745"/>
      <c r="L6" s="479" t="s">
        <v>49</v>
      </c>
      <c r="M6" s="429" t="s">
        <v>51</v>
      </c>
      <c r="O6" s="480"/>
      <c r="P6" s="429" t="s">
        <v>1</v>
      </c>
      <c r="Q6" s="745"/>
      <c r="R6" s="479" t="s">
        <v>49</v>
      </c>
      <c r="S6" s="429" t="s">
        <v>51</v>
      </c>
      <c r="U6" s="480"/>
      <c r="V6" s="429" t="s">
        <v>1</v>
      </c>
      <c r="W6" s="745"/>
      <c r="X6" s="479" t="s">
        <v>49</v>
      </c>
      <c r="Y6" s="429" t="s">
        <v>51</v>
      </c>
      <c r="AA6" s="480"/>
      <c r="AB6" s="429" t="s">
        <v>1</v>
      </c>
      <c r="AC6" s="745"/>
      <c r="AD6" s="479" t="s">
        <v>49</v>
      </c>
      <c r="AE6" s="429" t="s">
        <v>51</v>
      </c>
    </row>
    <row r="7" spans="2:31">
      <c r="B7" s="19" t="s">
        <v>29</v>
      </c>
      <c r="C7" s="482"/>
      <c r="D7" s="432">
        <f>'W1 Forecast'!I20</f>
        <v>48138.46</v>
      </c>
      <c r="F7" s="483">
        <f>'W1 Cost &amp; Sales'!E11</f>
        <v>50781.78</v>
      </c>
      <c r="G7" s="484">
        <f>F7-D7</f>
        <v>2643.3199999999997</v>
      </c>
      <c r="I7" s="482"/>
      <c r="J7" s="432">
        <f>'W2 Forecast'!I20</f>
        <v>46184.26</v>
      </c>
      <c r="L7" s="483">
        <f>'W2 Cost &amp; Sales'!E11</f>
        <v>44769.16</v>
      </c>
      <c r="M7" s="484">
        <f>L7-J7</f>
        <v>-1415.0999999999985</v>
      </c>
      <c r="O7" s="482"/>
      <c r="P7" s="432">
        <f>'W3 Forecast'!I20</f>
        <v>64879.439999999995</v>
      </c>
      <c r="R7" s="483">
        <f>'W3 Cost &amp; Sales '!E11</f>
        <v>0</v>
      </c>
      <c r="S7" s="484">
        <f>R7-P7</f>
        <v>-64879.439999999995</v>
      </c>
      <c r="U7" s="482"/>
      <c r="V7" s="432">
        <f>'W4 Forecast '!I20</f>
        <v>48268.74</v>
      </c>
      <c r="X7" s="483">
        <f>'W4 Cost &amp; Sales'!E11</f>
        <v>0</v>
      </c>
      <c r="Y7" s="484">
        <f>X7-V7</f>
        <v>-48268.74</v>
      </c>
      <c r="AA7" s="482"/>
      <c r="AB7" s="432">
        <f>D7+J7+P7+V7</f>
        <v>207470.9</v>
      </c>
      <c r="AD7" s="483">
        <f>'Period Summary'!E11</f>
        <v>95550.94</v>
      </c>
      <c r="AE7" s="484">
        <f>AD7-AB7</f>
        <v>-111919.95999999999</v>
      </c>
    </row>
    <row r="8" spans="2:31">
      <c r="B8" s="19" t="s">
        <v>24</v>
      </c>
      <c r="C8" s="482"/>
      <c r="D8" s="432">
        <f>'W1 Forecast'!I21</f>
        <v>7633.87</v>
      </c>
      <c r="F8" s="483">
        <f>'W1 Cost &amp; Sales'!E12</f>
        <v>11482.5</v>
      </c>
      <c r="G8" s="484">
        <f t="shared" ref="G8:G11" si="0">F8-D8</f>
        <v>3848.63</v>
      </c>
      <c r="I8" s="482"/>
      <c r="J8" s="432">
        <f>'W2 Forecast'!I21</f>
        <v>7323.97</v>
      </c>
      <c r="L8" s="483">
        <f>'W2 Cost &amp; Sales'!E12</f>
        <v>10087.700000000001</v>
      </c>
      <c r="M8" s="484">
        <f t="shared" ref="M8:M11" si="1">L8-J8</f>
        <v>2763.7300000000005</v>
      </c>
      <c r="O8" s="482"/>
      <c r="P8" s="432">
        <f>'W3 Forecast'!I21</f>
        <v>10288.68</v>
      </c>
      <c r="R8" s="483">
        <f>'W3 Cost &amp; Sales '!E12</f>
        <v>0</v>
      </c>
      <c r="S8" s="484">
        <f t="shared" ref="S8:S11" si="2">R8-P8</f>
        <v>-10288.68</v>
      </c>
      <c r="U8" s="482"/>
      <c r="V8" s="432">
        <f>'W4 Forecast '!I21</f>
        <v>7654.5300000000007</v>
      </c>
      <c r="X8" s="483">
        <f>'W4 Cost &amp; Sales'!E12</f>
        <v>0</v>
      </c>
      <c r="Y8" s="484">
        <f t="shared" ref="Y8:Y11" si="3">X8-V8</f>
        <v>-7654.5300000000007</v>
      </c>
      <c r="AA8" s="482"/>
      <c r="AB8" s="432">
        <f t="shared" ref="AB8:AB12" si="4">D8+J8+P8+V8</f>
        <v>32901.050000000003</v>
      </c>
      <c r="AD8" s="483">
        <f>'Period Summary'!E12</f>
        <v>21570.2</v>
      </c>
      <c r="AE8" s="484">
        <f t="shared" ref="AE8:AE11" si="5">AD8-AB8</f>
        <v>-11330.850000000002</v>
      </c>
    </row>
    <row r="9" spans="2:31">
      <c r="B9" s="19" t="s">
        <v>25</v>
      </c>
      <c r="C9" s="482"/>
      <c r="D9" s="432">
        <f>'W1 Forecast'!I22</f>
        <v>3584.15</v>
      </c>
      <c r="F9" s="483">
        <f>'W1 Cost &amp; Sales'!E13</f>
        <v>2213.2600000000002</v>
      </c>
      <c r="G9" s="484">
        <f t="shared" si="0"/>
        <v>-1370.8899999999999</v>
      </c>
      <c r="I9" s="482"/>
      <c r="J9" s="432">
        <f>'W2 Forecast'!I22</f>
        <v>3438.65</v>
      </c>
      <c r="L9" s="483">
        <f>'W2 Cost &amp; Sales'!E13</f>
        <v>1645.01</v>
      </c>
      <c r="M9" s="484">
        <f t="shared" si="1"/>
        <v>-1793.64</v>
      </c>
      <c r="O9" s="482"/>
      <c r="P9" s="432">
        <f>'W3 Forecast'!I22</f>
        <v>4830.6000000000004</v>
      </c>
      <c r="R9" s="483">
        <f>'W3 Cost &amp; Sales '!E13</f>
        <v>0</v>
      </c>
      <c r="S9" s="484">
        <f t="shared" si="2"/>
        <v>-4830.6000000000004</v>
      </c>
      <c r="U9" s="482"/>
      <c r="V9" s="432">
        <f>'W4 Forecast '!I22</f>
        <v>3593.85</v>
      </c>
      <c r="X9" s="483">
        <f>'W4 Cost &amp; Sales'!E13</f>
        <v>0</v>
      </c>
      <c r="Y9" s="484">
        <f t="shared" si="3"/>
        <v>-3593.85</v>
      </c>
      <c r="AA9" s="482"/>
      <c r="AB9" s="432">
        <f t="shared" si="4"/>
        <v>15447.250000000002</v>
      </c>
      <c r="AD9" s="483">
        <f>'Period Summary'!E13</f>
        <v>3858.2700000000004</v>
      </c>
      <c r="AE9" s="484">
        <f t="shared" si="5"/>
        <v>-11588.980000000001</v>
      </c>
    </row>
    <row r="10" spans="2:31">
      <c r="B10" s="19" t="s">
        <v>26</v>
      </c>
      <c r="C10" s="482"/>
      <c r="D10" s="432">
        <f>'W1 Forecast'!I23</f>
        <v>12444.76</v>
      </c>
      <c r="F10" s="483">
        <f>'W1 Cost &amp; Sales'!E14</f>
        <v>10684.52</v>
      </c>
      <c r="G10" s="484">
        <f t="shared" si="0"/>
        <v>-1760.2399999999998</v>
      </c>
      <c r="I10" s="482"/>
      <c r="J10" s="432">
        <f>'W2 Forecast'!I23</f>
        <v>11939.56</v>
      </c>
      <c r="L10" s="483">
        <f>'W2 Cost &amp; Sales'!E14</f>
        <v>5957</v>
      </c>
      <c r="M10" s="484">
        <f t="shared" si="1"/>
        <v>-5982.5599999999995</v>
      </c>
      <c r="O10" s="482"/>
      <c r="P10" s="432">
        <f>'W3 Forecast'!I23</f>
        <v>16772.64</v>
      </c>
      <c r="R10" s="483">
        <f>'W3 Cost &amp; Sales '!E14</f>
        <v>0</v>
      </c>
      <c r="S10" s="484">
        <f t="shared" si="2"/>
        <v>-16772.64</v>
      </c>
      <c r="U10" s="482"/>
      <c r="V10" s="432">
        <f>'W4 Forecast '!I23</f>
        <v>12478.439999999999</v>
      </c>
      <c r="X10" s="483">
        <f>'W4 Cost &amp; Sales'!E14</f>
        <v>0</v>
      </c>
      <c r="Y10" s="484">
        <f t="shared" si="3"/>
        <v>-12478.439999999999</v>
      </c>
      <c r="AA10" s="482"/>
      <c r="AB10" s="432">
        <f t="shared" si="4"/>
        <v>53635.399999999994</v>
      </c>
      <c r="AD10" s="483">
        <f>'Period Summary'!E14</f>
        <v>16641.52</v>
      </c>
      <c r="AE10" s="484">
        <f t="shared" si="5"/>
        <v>-36993.87999999999</v>
      </c>
    </row>
    <row r="11" spans="2:31">
      <c r="B11" s="19" t="s">
        <v>85</v>
      </c>
      <c r="C11" s="482"/>
      <c r="D11" s="744">
        <f>'W1 Forecast'!I24</f>
        <v>2098.7600000000002</v>
      </c>
      <c r="F11" s="742">
        <f>'W1 Cost &amp; Sales'!E15</f>
        <v>1076.6500000000001</v>
      </c>
      <c r="G11" s="743">
        <f t="shared" si="0"/>
        <v>-1022.1100000000001</v>
      </c>
      <c r="I11" s="482"/>
      <c r="J11" s="744">
        <f>'W2 Forecast'!I24</f>
        <v>2013.5600000000002</v>
      </c>
      <c r="L11" s="742">
        <f>'W2 Cost &amp; Sales'!E15</f>
        <v>842.3</v>
      </c>
      <c r="M11" s="743">
        <f t="shared" si="1"/>
        <v>-1171.2600000000002</v>
      </c>
      <c r="O11" s="482"/>
      <c r="P11" s="744">
        <f>'W3 Forecast'!I24</f>
        <v>2828.6400000000003</v>
      </c>
      <c r="R11" s="742">
        <f>'W3 Cost &amp; Sales '!E15</f>
        <v>0</v>
      </c>
      <c r="S11" s="743">
        <f t="shared" si="2"/>
        <v>-2828.6400000000003</v>
      </c>
      <c r="U11" s="482"/>
      <c r="V11" s="744">
        <f>'W4 Forecast '!I24</f>
        <v>2104.44</v>
      </c>
      <c r="X11" s="742">
        <f>'W4 Cost &amp; Sales'!E15</f>
        <v>0</v>
      </c>
      <c r="Y11" s="743">
        <f t="shared" si="3"/>
        <v>-2104.44</v>
      </c>
      <c r="AA11" s="482"/>
      <c r="AB11" s="744">
        <f t="shared" si="4"/>
        <v>9045.4000000000015</v>
      </c>
      <c r="AD11" s="742">
        <f>'Period Summary'!E15</f>
        <v>1918.95</v>
      </c>
      <c r="AE11" s="743">
        <f t="shared" si="5"/>
        <v>-7126.4500000000016</v>
      </c>
    </row>
    <row r="12" spans="2:31" ht="15.75" thickBot="1">
      <c r="B12" s="19" t="s">
        <v>241</v>
      </c>
      <c r="C12" s="482"/>
      <c r="D12" s="518">
        <f>'W1 Forecast'!I25</f>
        <v>0</v>
      </c>
      <c r="F12" s="534">
        <f>'W1 Cost &amp; Sales'!E16</f>
        <v>50</v>
      </c>
      <c r="G12" s="461">
        <f t="shared" ref="G12" si="6">F12-D12</f>
        <v>50</v>
      </c>
      <c r="I12" s="482"/>
      <c r="J12" s="518">
        <f>'W2 Forecast'!I25</f>
        <v>0</v>
      </c>
      <c r="L12" s="534">
        <f>'W2 Cost &amp; Sales'!E16</f>
        <v>100</v>
      </c>
      <c r="M12" s="461">
        <f t="shared" ref="M12" si="7">L12-J12</f>
        <v>100</v>
      </c>
      <c r="O12" s="482"/>
      <c r="P12" s="518">
        <f>'W3 Forecast'!I25</f>
        <v>0</v>
      </c>
      <c r="R12" s="534">
        <f>'W3 Cost &amp; Sales '!E16</f>
        <v>0</v>
      </c>
      <c r="S12" s="461">
        <f t="shared" ref="S12" si="8">R12-P12</f>
        <v>0</v>
      </c>
      <c r="U12" s="482"/>
      <c r="V12" s="518">
        <f>'W4 Forecast '!I25</f>
        <v>0</v>
      </c>
      <c r="X12" s="534">
        <f>'W4 Cost &amp; Sales'!E16</f>
        <v>0</v>
      </c>
      <c r="Y12" s="461">
        <f t="shared" ref="Y12" si="9">X12-V12</f>
        <v>0</v>
      </c>
      <c r="AA12" s="482"/>
      <c r="AB12" s="518">
        <f t="shared" si="4"/>
        <v>0</v>
      </c>
      <c r="AD12" s="534">
        <f>'Period Summary'!E16</f>
        <v>150</v>
      </c>
      <c r="AE12" s="461">
        <f t="shared" ref="AE12" si="10">AD12-AB12</f>
        <v>150</v>
      </c>
    </row>
    <row r="13" spans="2:31">
      <c r="B13" s="430" t="s">
        <v>0</v>
      </c>
      <c r="C13" s="485"/>
      <c r="D13" s="531">
        <f>SUM(D7:D12)</f>
        <v>73900</v>
      </c>
      <c r="E13" s="428"/>
      <c r="F13" s="532">
        <f>SUM(F7:F12)</f>
        <v>76288.709999999992</v>
      </c>
      <c r="G13" s="724">
        <f>SUM(G7:G12)</f>
        <v>2388.7099999999996</v>
      </c>
      <c r="I13" s="485"/>
      <c r="J13" s="531">
        <f>SUM(J7:J12)</f>
        <v>70900</v>
      </c>
      <c r="K13" s="428"/>
      <c r="L13" s="532">
        <f>SUM(L7:L12)</f>
        <v>63401.170000000006</v>
      </c>
      <c r="M13" s="724">
        <f>SUM(M7:M12)</f>
        <v>-7498.8299999999981</v>
      </c>
      <c r="O13" s="485"/>
      <c r="P13" s="531">
        <f>SUM(P7:P12)</f>
        <v>99600</v>
      </c>
      <c r="Q13" s="428"/>
      <c r="R13" s="532">
        <f>SUM(R7:R12)</f>
        <v>0</v>
      </c>
      <c r="S13" s="724">
        <f>SUM(S7:S12)</f>
        <v>-99600</v>
      </c>
      <c r="U13" s="485"/>
      <c r="V13" s="531">
        <f>SUM(V7:V12)</f>
        <v>74100</v>
      </c>
      <c r="W13" s="428"/>
      <c r="X13" s="532">
        <f>SUM(X7:X12)</f>
        <v>0</v>
      </c>
      <c r="Y13" s="724">
        <f>SUM(Y7:Y12)</f>
        <v>-74100</v>
      </c>
      <c r="AA13" s="485"/>
      <c r="AB13" s="531">
        <f>SUM(AB7:AB12)</f>
        <v>318500</v>
      </c>
      <c r="AC13" s="428"/>
      <c r="AD13" s="532">
        <f>SUM(AD7:AD12)</f>
        <v>139689.88</v>
      </c>
      <c r="AE13" s="724">
        <f>SUM(AE7:AE12)</f>
        <v>-178810.12</v>
      </c>
    </row>
    <row r="14" spans="2:31" ht="15.75" thickBot="1">
      <c r="C14" s="746"/>
      <c r="D14" s="15"/>
      <c r="E14" s="14"/>
      <c r="F14" s="14"/>
      <c r="G14" s="15"/>
      <c r="I14" s="746"/>
      <c r="J14" s="15"/>
      <c r="K14" s="14"/>
      <c r="L14" s="14"/>
      <c r="M14" s="15"/>
      <c r="O14" s="746"/>
      <c r="P14" s="15"/>
      <c r="Q14" s="14"/>
      <c r="R14" s="14"/>
      <c r="S14" s="15"/>
      <c r="U14" s="746"/>
      <c r="V14" s="15"/>
      <c r="W14" s="14"/>
      <c r="X14" s="14"/>
      <c r="Y14" s="15"/>
      <c r="AA14" s="746"/>
      <c r="AB14" s="15"/>
      <c r="AC14" s="14"/>
      <c r="AD14" s="14"/>
      <c r="AE14" s="15"/>
    </row>
    <row r="15" spans="2:31" ht="15.75">
      <c r="B15" s="431" t="s">
        <v>228</v>
      </c>
      <c r="C15" s="434" t="s">
        <v>13</v>
      </c>
      <c r="D15" s="429" t="s">
        <v>12</v>
      </c>
      <c r="E15" s="478" t="s">
        <v>229</v>
      </c>
      <c r="F15" s="487" t="s">
        <v>230</v>
      </c>
      <c r="G15" s="429" t="s">
        <v>51</v>
      </c>
      <c r="I15" s="434" t="s">
        <v>13</v>
      </c>
      <c r="J15" s="429" t="s">
        <v>12</v>
      </c>
      <c r="K15" s="478" t="s">
        <v>229</v>
      </c>
      <c r="L15" s="487" t="s">
        <v>230</v>
      </c>
      <c r="M15" s="429" t="s">
        <v>51</v>
      </c>
      <c r="O15" s="434" t="s">
        <v>13</v>
      </c>
      <c r="P15" s="429" t="s">
        <v>12</v>
      </c>
      <c r="Q15" s="478" t="s">
        <v>229</v>
      </c>
      <c r="R15" s="487" t="s">
        <v>230</v>
      </c>
      <c r="S15" s="429" t="s">
        <v>51</v>
      </c>
      <c r="U15" s="434" t="s">
        <v>13</v>
      </c>
      <c r="V15" s="429" t="s">
        <v>12</v>
      </c>
      <c r="W15" s="478" t="s">
        <v>229</v>
      </c>
      <c r="X15" s="487" t="s">
        <v>230</v>
      </c>
      <c r="Y15" s="429" t="s">
        <v>51</v>
      </c>
      <c r="AA15" s="434" t="s">
        <v>13</v>
      </c>
      <c r="AB15" s="429" t="s">
        <v>12</v>
      </c>
      <c r="AC15" s="478" t="s">
        <v>229</v>
      </c>
      <c r="AD15" s="487" t="s">
        <v>230</v>
      </c>
      <c r="AE15" s="429" t="s">
        <v>51</v>
      </c>
    </row>
    <row r="16" spans="2:31">
      <c r="B16" s="19" t="s">
        <v>29</v>
      </c>
      <c r="C16" s="488">
        <f>'W1 Forecast'!L20</f>
        <v>0.32</v>
      </c>
      <c r="D16" s="432">
        <f>F7*C16</f>
        <v>16250.169599999999</v>
      </c>
      <c r="E16" s="489">
        <f>'W1 Cost &amp; Sales'!H11</f>
        <v>17152.68</v>
      </c>
      <c r="F16" s="490">
        <f>E16/F7</f>
        <v>0.33777232700389787</v>
      </c>
      <c r="G16" s="484">
        <f>E16-D16</f>
        <v>902.51040000000103</v>
      </c>
      <c r="I16" s="488">
        <f>'W1 Forecast'!L20</f>
        <v>0.32</v>
      </c>
      <c r="J16" s="432">
        <f>L7*I16</f>
        <v>14326.131200000002</v>
      </c>
      <c r="K16" s="489">
        <f>'W2 Cost &amp; Sales'!H11</f>
        <v>13816.69</v>
      </c>
      <c r="L16" s="490">
        <f>K16/L7</f>
        <v>0.30862071122174284</v>
      </c>
      <c r="M16" s="484">
        <f>K16-J16</f>
        <v>-509.44120000000112</v>
      </c>
      <c r="O16" s="488">
        <f>'W1 Forecast'!L20</f>
        <v>0.32</v>
      </c>
      <c r="P16" s="432">
        <f>R7*O16</f>
        <v>0</v>
      </c>
      <c r="Q16" s="489">
        <f>'W3 Cost &amp; Sales '!H11</f>
        <v>3298.03</v>
      </c>
      <c r="R16" s="490" t="e">
        <f>Q16/R7</f>
        <v>#DIV/0!</v>
      </c>
      <c r="S16" s="484">
        <f>Q16-P16</f>
        <v>3298.03</v>
      </c>
      <c r="U16" s="488">
        <f>'W1 Forecast'!L20</f>
        <v>0.32</v>
      </c>
      <c r="V16" s="432">
        <f>X7*U16</f>
        <v>0</v>
      </c>
      <c r="W16" s="489">
        <f>'W4 Cost &amp; Sales'!H11</f>
        <v>0</v>
      </c>
      <c r="X16" s="490" t="e">
        <f>W16/X7</f>
        <v>#DIV/0!</v>
      </c>
      <c r="Y16" s="484">
        <f>W16-V16</f>
        <v>0</v>
      </c>
      <c r="AA16" s="488">
        <f>'W1 Forecast'!L20</f>
        <v>0.32</v>
      </c>
      <c r="AB16" s="432">
        <f>AD7*AA16</f>
        <v>30576.300800000001</v>
      </c>
      <c r="AC16" s="489">
        <f>W16+Q16+K16+E16</f>
        <v>34267.4</v>
      </c>
      <c r="AD16" s="490">
        <f>AC16/AD7</f>
        <v>0.35862964822742716</v>
      </c>
      <c r="AE16" s="484">
        <f>AC16-AB16</f>
        <v>3691.0992000000006</v>
      </c>
    </row>
    <row r="17" spans="1:31">
      <c r="B17" s="19" t="s">
        <v>24</v>
      </c>
      <c r="C17" s="488">
        <f>'W1 Forecast'!L21</f>
        <v>0.17</v>
      </c>
      <c r="D17" s="432">
        <f>F8*C17</f>
        <v>1952.0250000000001</v>
      </c>
      <c r="E17" s="489">
        <f>'W1 Cost &amp; Sales'!H12</f>
        <v>1814.4500000000007</v>
      </c>
      <c r="F17" s="490">
        <f>E17/F8</f>
        <v>0.15801872414543877</v>
      </c>
      <c r="G17" s="484">
        <f t="shared" ref="G17:G20" si="11">E17-D17</f>
        <v>-137.57499999999936</v>
      </c>
      <c r="I17" s="488">
        <f>'W1 Forecast'!L21</f>
        <v>0.17</v>
      </c>
      <c r="J17" s="432">
        <f>L8*I17</f>
        <v>1714.9090000000003</v>
      </c>
      <c r="K17" s="489">
        <f>'W2 Cost &amp; Sales'!H12</f>
        <v>1712.6800000000003</v>
      </c>
      <c r="L17" s="490">
        <f>K17/L8</f>
        <v>0.16977903783815937</v>
      </c>
      <c r="M17" s="484">
        <f t="shared" ref="M17:M20" si="12">K17-J17</f>
        <v>-2.2290000000000418</v>
      </c>
      <c r="O17" s="488">
        <f>'W1 Forecast'!L21</f>
        <v>0.17</v>
      </c>
      <c r="P17" s="432">
        <f>R8*O17</f>
        <v>0</v>
      </c>
      <c r="Q17" s="489">
        <f>'W3 Cost &amp; Sales '!H12</f>
        <v>14304.32</v>
      </c>
      <c r="R17" s="490" t="e">
        <f>Q17/R8</f>
        <v>#DIV/0!</v>
      </c>
      <c r="S17" s="484">
        <f t="shared" ref="S17:S20" si="13">Q17-P17</f>
        <v>14304.32</v>
      </c>
      <c r="U17" s="488">
        <f>'W1 Forecast'!L21</f>
        <v>0.17</v>
      </c>
      <c r="V17" s="432">
        <f>X8*U17</f>
        <v>0</v>
      </c>
      <c r="W17" s="489">
        <f>'W4 Cost &amp; Sales'!H12</f>
        <v>0</v>
      </c>
      <c r="X17" s="490" t="e">
        <f>W17/X8</f>
        <v>#DIV/0!</v>
      </c>
      <c r="Y17" s="484">
        <f t="shared" ref="Y17:Y20" si="14">W17-V17</f>
        <v>0</v>
      </c>
      <c r="AA17" s="488">
        <f>'W1 Forecast'!L21</f>
        <v>0.17</v>
      </c>
      <c r="AB17" s="432">
        <f>AD8*AA17</f>
        <v>3666.9340000000002</v>
      </c>
      <c r="AC17" s="489">
        <f>'Period Summary'!H12</f>
        <v>17831.45</v>
      </c>
      <c r="AD17" s="490">
        <f>AC17/AD8</f>
        <v>0.82667059183503167</v>
      </c>
      <c r="AE17" s="484">
        <f t="shared" ref="AE17:AE20" si="15">AC17-AB17</f>
        <v>14164.516</v>
      </c>
    </row>
    <row r="18" spans="1:31">
      <c r="B18" s="19" t="s">
        <v>25</v>
      </c>
      <c r="C18" s="488">
        <f>'W1 Forecast'!L22</f>
        <v>0.19</v>
      </c>
      <c r="D18" s="432">
        <f>F9*C18</f>
        <v>420.51940000000002</v>
      </c>
      <c r="E18" s="489">
        <f>'W1 Cost &amp; Sales'!H13</f>
        <v>608.84000000000015</v>
      </c>
      <c r="F18" s="490">
        <f>E18/F9</f>
        <v>0.27508742759549265</v>
      </c>
      <c r="G18" s="484">
        <f t="shared" si="11"/>
        <v>188.32060000000013</v>
      </c>
      <c r="I18" s="488">
        <f>'W1 Forecast'!L22</f>
        <v>0.19</v>
      </c>
      <c r="J18" s="432">
        <f>L9*I18</f>
        <v>312.55189999999999</v>
      </c>
      <c r="K18" s="489">
        <f>'W2 Cost &amp; Sales'!H13</f>
        <v>451.2800000000002</v>
      </c>
      <c r="L18" s="490">
        <f>K18/L9</f>
        <v>0.27433267882870027</v>
      </c>
      <c r="M18" s="484">
        <f t="shared" si="12"/>
        <v>138.72810000000021</v>
      </c>
      <c r="O18" s="488">
        <f>'W1 Forecast'!L22</f>
        <v>0.19</v>
      </c>
      <c r="P18" s="432">
        <f>R9*O18</f>
        <v>0</v>
      </c>
      <c r="Q18" s="489">
        <f>'W3 Cost &amp; Sales '!H13</f>
        <v>2641.15</v>
      </c>
      <c r="R18" s="490" t="e">
        <f>Q18/R9</f>
        <v>#DIV/0!</v>
      </c>
      <c r="S18" s="484">
        <f t="shared" si="13"/>
        <v>2641.15</v>
      </c>
      <c r="U18" s="488">
        <f>'W1 Forecast'!L22</f>
        <v>0.19</v>
      </c>
      <c r="V18" s="432">
        <f>X9*U18</f>
        <v>0</v>
      </c>
      <c r="W18" s="489">
        <f>'W4 Cost &amp; Sales'!H13</f>
        <v>0</v>
      </c>
      <c r="X18" s="490" t="e">
        <f>W18/X9</f>
        <v>#DIV/0!</v>
      </c>
      <c r="Y18" s="484">
        <f t="shared" si="14"/>
        <v>0</v>
      </c>
      <c r="AA18" s="488">
        <f>'W1 Forecast'!L22</f>
        <v>0.19</v>
      </c>
      <c r="AB18" s="432">
        <f>AD9*AA18</f>
        <v>733.07130000000006</v>
      </c>
      <c r="AC18" s="489">
        <f>'Period Summary'!H13</f>
        <v>3701.2700000000004</v>
      </c>
      <c r="AD18" s="490">
        <f>AC18/AD9</f>
        <v>0.95930818734821566</v>
      </c>
      <c r="AE18" s="484">
        <f t="shared" si="15"/>
        <v>2968.1987000000004</v>
      </c>
    </row>
    <row r="19" spans="1:31">
      <c r="B19" s="19" t="s">
        <v>26</v>
      </c>
      <c r="C19" s="488">
        <f>'W1 Forecast'!L23</f>
        <v>0.23</v>
      </c>
      <c r="D19" s="432">
        <f>F10*C19</f>
        <v>2457.4396000000002</v>
      </c>
      <c r="E19" s="489">
        <f>'W1 Cost &amp; Sales'!H14</f>
        <v>2739.5499999999975</v>
      </c>
      <c r="F19" s="490">
        <f>E19/F10</f>
        <v>0.256403656879298</v>
      </c>
      <c r="G19" s="484">
        <f t="shared" si="11"/>
        <v>282.1103999999973</v>
      </c>
      <c r="I19" s="488">
        <f>'W1 Forecast'!L23</f>
        <v>0.23</v>
      </c>
      <c r="J19" s="432">
        <f>L10*I19</f>
        <v>1370.1100000000001</v>
      </c>
      <c r="K19" s="489">
        <f>'W2 Cost &amp; Sales'!H14</f>
        <v>1465.9799999999996</v>
      </c>
      <c r="L19" s="490">
        <f>K19/L10</f>
        <v>0.24609367131106255</v>
      </c>
      <c r="M19" s="484">
        <f t="shared" si="12"/>
        <v>95.869999999999436</v>
      </c>
      <c r="O19" s="488">
        <f>'W1 Forecast'!L23</f>
        <v>0.23</v>
      </c>
      <c r="P19" s="432">
        <f>R10*O19</f>
        <v>0</v>
      </c>
      <c r="Q19" s="489">
        <f>'W3 Cost &amp; Sales '!H14</f>
        <v>17174.150000000001</v>
      </c>
      <c r="R19" s="490" t="e">
        <f>Q19/R10</f>
        <v>#DIV/0!</v>
      </c>
      <c r="S19" s="484">
        <f t="shared" si="13"/>
        <v>17174.150000000001</v>
      </c>
      <c r="U19" s="488">
        <f>'W1 Forecast'!L23</f>
        <v>0.23</v>
      </c>
      <c r="V19" s="432">
        <f>X10*U19</f>
        <v>0</v>
      </c>
      <c r="W19" s="489">
        <f>'W4 Cost &amp; Sales'!H14</f>
        <v>0</v>
      </c>
      <c r="X19" s="490" t="e">
        <f>W19/X10</f>
        <v>#DIV/0!</v>
      </c>
      <c r="Y19" s="484">
        <f t="shared" si="14"/>
        <v>0</v>
      </c>
      <c r="AA19" s="488">
        <f>'W1 Forecast'!L23</f>
        <v>0.23</v>
      </c>
      <c r="AB19" s="432">
        <f>AD10*AA19</f>
        <v>3827.5496000000003</v>
      </c>
      <c r="AC19" s="489">
        <f>'Period Summary'!H14</f>
        <v>21379.68</v>
      </c>
      <c r="AD19" s="490">
        <f>AC19/AD10</f>
        <v>1.2847191843052799</v>
      </c>
      <c r="AE19" s="484">
        <f t="shared" si="15"/>
        <v>17552.130400000002</v>
      </c>
    </row>
    <row r="20" spans="1:31" ht="15.75" thickBot="1">
      <c r="B20" s="19" t="s">
        <v>85</v>
      </c>
      <c r="C20" s="504">
        <f>'W1 Forecast'!L24</f>
        <v>0.12</v>
      </c>
      <c r="D20" s="518">
        <f>F11*C20</f>
        <v>129.19800000000001</v>
      </c>
      <c r="E20" s="523">
        <f>'W1 Cost &amp; Sales'!H15</f>
        <v>252.13000000000011</v>
      </c>
      <c r="F20" s="524">
        <f>E20/F11</f>
        <v>0.23418009566711567</v>
      </c>
      <c r="G20" s="461">
        <f t="shared" si="11"/>
        <v>122.9320000000001</v>
      </c>
      <c r="I20" s="504">
        <f>'W1 Forecast'!L24</f>
        <v>0.12</v>
      </c>
      <c r="J20" s="518">
        <f>L11*I20</f>
        <v>101.07599999999999</v>
      </c>
      <c r="K20" s="523">
        <f>'W2 Cost &amp; Sales'!H15</f>
        <v>211.54999999999995</v>
      </c>
      <c r="L20" s="524">
        <f>K20/L11</f>
        <v>0.25115754481776087</v>
      </c>
      <c r="M20" s="461">
        <f t="shared" si="12"/>
        <v>110.47399999999996</v>
      </c>
      <c r="O20" s="504">
        <f>'W1 Forecast'!L24</f>
        <v>0.12</v>
      </c>
      <c r="P20" s="518">
        <f>R11*O20</f>
        <v>0</v>
      </c>
      <c r="Q20" s="523">
        <f>'W3 Cost &amp; Sales '!H15</f>
        <v>1383.74</v>
      </c>
      <c r="R20" s="524" t="e">
        <f>Q20/R11</f>
        <v>#DIV/0!</v>
      </c>
      <c r="S20" s="461">
        <f t="shared" si="13"/>
        <v>1383.74</v>
      </c>
      <c r="U20" s="488">
        <f>'W1 Forecast'!L24</f>
        <v>0.12</v>
      </c>
      <c r="V20" s="518">
        <f>X11*U20</f>
        <v>0</v>
      </c>
      <c r="W20" s="523">
        <f>'W4 Cost &amp; Sales'!H15</f>
        <v>0</v>
      </c>
      <c r="X20" s="524" t="e">
        <f>W20/X11</f>
        <v>#DIV/0!</v>
      </c>
      <c r="Y20" s="461">
        <f t="shared" si="14"/>
        <v>0</v>
      </c>
      <c r="AA20" s="504">
        <f>'W1 Forecast'!L24</f>
        <v>0.12</v>
      </c>
      <c r="AB20" s="518">
        <f>AD11*AA20</f>
        <v>230.274</v>
      </c>
      <c r="AC20" s="523">
        <f>'Period Summary'!H15</f>
        <v>1847.4199999999998</v>
      </c>
      <c r="AD20" s="524">
        <f>AC20/AD11</f>
        <v>0.96272440657651315</v>
      </c>
      <c r="AE20" s="461">
        <f t="shared" si="15"/>
        <v>1617.1459999999997</v>
      </c>
    </row>
    <row r="21" spans="1:31" ht="15.75" thickBot="1">
      <c r="B21" s="430" t="s">
        <v>0</v>
      </c>
      <c r="C21" s="462">
        <f>D21/F13</f>
        <v>0.27801429071221684</v>
      </c>
      <c r="D21" s="502">
        <f>SUM(D16:D20)</f>
        <v>21209.351600000002</v>
      </c>
      <c r="E21" s="521">
        <f>SUM(E16:E20)</f>
        <v>22567.649999999998</v>
      </c>
      <c r="F21" s="522">
        <f>E21/F13</f>
        <v>0.29581900126506266</v>
      </c>
      <c r="G21" s="441">
        <f>SUM(G16:G20)</f>
        <v>1358.298399999999</v>
      </c>
      <c r="I21" s="462">
        <f>J21/L13</f>
        <v>0.28114273127767203</v>
      </c>
      <c r="J21" s="502">
        <f>SUM(J16:J20)</f>
        <v>17824.778100000003</v>
      </c>
      <c r="K21" s="521">
        <f>SUM(K16:K20)</f>
        <v>17658.18</v>
      </c>
      <c r="L21" s="522">
        <f>K21/L13</f>
        <v>0.27851504948567984</v>
      </c>
      <c r="M21" s="441">
        <f>SUM(M16:M20)</f>
        <v>-166.59810000000155</v>
      </c>
      <c r="O21" s="462" t="e">
        <f>P21/R13</f>
        <v>#DIV/0!</v>
      </c>
      <c r="P21" s="502">
        <f>SUM(P16:P20)</f>
        <v>0</v>
      </c>
      <c r="Q21" s="521">
        <f>SUM(Q16:Q20)</f>
        <v>38801.39</v>
      </c>
      <c r="R21" s="522" t="e">
        <f>Q21/R13</f>
        <v>#DIV/0!</v>
      </c>
      <c r="S21" s="441">
        <f>SUM(S16:S20)</f>
        <v>38801.39</v>
      </c>
      <c r="U21" s="462" t="e">
        <f>V21/X13</f>
        <v>#DIV/0!</v>
      </c>
      <c r="V21" s="502">
        <f>SUM(V16:V20)</f>
        <v>0</v>
      </c>
      <c r="W21" s="521">
        <f>SUM(W16:W20)</f>
        <v>0</v>
      </c>
      <c r="X21" s="522" t="e">
        <f>W21/X13</f>
        <v>#DIV/0!</v>
      </c>
      <c r="Y21" s="441">
        <f>SUM(Y16:Y20)</f>
        <v>0</v>
      </c>
      <c r="AA21" s="462">
        <f>AB21/AD13</f>
        <v>0.27943419881239784</v>
      </c>
      <c r="AB21" s="502">
        <f>SUM(AB16:AB20)</f>
        <v>39034.129699999998</v>
      </c>
      <c r="AC21" s="521">
        <f>SUM(AC16:AC20)</f>
        <v>79027.220000000016</v>
      </c>
      <c r="AD21" s="522">
        <f>AC21/AD13</f>
        <v>0.56573332298660439</v>
      </c>
      <c r="AE21" s="441">
        <f>SUM(AE16:AE20)</f>
        <v>39993.090300000003</v>
      </c>
    </row>
    <row r="22" spans="1:31" ht="15.75" thickBot="1">
      <c r="C22" s="433"/>
      <c r="D22" s="8"/>
      <c r="E22" s="7"/>
      <c r="F22" s="449"/>
      <c r="G22" s="8"/>
      <c r="I22" s="433"/>
      <c r="J22" s="8"/>
      <c r="K22" s="7"/>
      <c r="L22" s="449"/>
      <c r="M22" s="8"/>
      <c r="O22" s="433"/>
      <c r="P22" s="8"/>
      <c r="Q22" s="7"/>
      <c r="R22" s="449"/>
      <c r="S22" s="8"/>
      <c r="U22" s="433"/>
      <c r="V22" s="8"/>
      <c r="W22" s="7"/>
      <c r="X22" s="449"/>
      <c r="Y22" s="8"/>
      <c r="AA22" s="433"/>
      <c r="AB22" s="8"/>
      <c r="AC22" s="7"/>
      <c r="AD22" s="449"/>
      <c r="AE22" s="8"/>
    </row>
    <row r="23" spans="1:31" ht="15.75">
      <c r="B23" s="431" t="s">
        <v>201</v>
      </c>
      <c r="C23" s="434" t="s">
        <v>13</v>
      </c>
      <c r="D23" s="429" t="s">
        <v>12</v>
      </c>
      <c r="E23" s="478" t="s">
        <v>229</v>
      </c>
      <c r="F23" s="649" t="s">
        <v>230</v>
      </c>
      <c r="G23" s="645" t="s">
        <v>51</v>
      </c>
      <c r="I23" s="434" t="s">
        <v>13</v>
      </c>
      <c r="J23" s="429" t="s">
        <v>12</v>
      </c>
      <c r="K23" s="478" t="s">
        <v>229</v>
      </c>
      <c r="L23" s="487" t="s">
        <v>230</v>
      </c>
      <c r="M23" s="429" t="s">
        <v>51</v>
      </c>
      <c r="O23" s="434" t="s">
        <v>13</v>
      </c>
      <c r="P23" s="429" t="s">
        <v>12</v>
      </c>
      <c r="Q23" s="478" t="s">
        <v>229</v>
      </c>
      <c r="R23" s="487" t="s">
        <v>230</v>
      </c>
      <c r="S23" s="429" t="s">
        <v>51</v>
      </c>
      <c r="U23" s="434" t="s">
        <v>13</v>
      </c>
      <c r="V23" s="429" t="s">
        <v>12</v>
      </c>
      <c r="W23" s="478" t="s">
        <v>229</v>
      </c>
      <c r="X23" s="487" t="s">
        <v>230</v>
      </c>
      <c r="Y23" s="429" t="s">
        <v>51</v>
      </c>
      <c r="AA23" s="434" t="s">
        <v>13</v>
      </c>
      <c r="AB23" s="429" t="s">
        <v>12</v>
      </c>
      <c r="AC23" s="478" t="s">
        <v>229</v>
      </c>
      <c r="AD23" s="487" t="s">
        <v>230</v>
      </c>
      <c r="AE23" s="429" t="s">
        <v>51</v>
      </c>
    </row>
    <row r="24" spans="1:31">
      <c r="B24" s="653" t="s">
        <v>244</v>
      </c>
      <c r="C24" s="488">
        <f>'W1 Forecast'!C47</f>
        <v>5.0000000000000001E-4</v>
      </c>
      <c r="D24" s="432">
        <f>$F$13*C24</f>
        <v>38.144354999999997</v>
      </c>
      <c r="E24" s="505">
        <f>'Entry Sheet '!E16</f>
        <v>0</v>
      </c>
      <c r="F24" s="650">
        <f>E24/$F$13</f>
        <v>0</v>
      </c>
      <c r="G24" s="646">
        <f>E24-D24</f>
        <v>-38.144354999999997</v>
      </c>
      <c r="I24" s="488">
        <f>'W1 Forecast'!C47</f>
        <v>5.0000000000000001E-4</v>
      </c>
      <c r="J24" s="432">
        <f>$L$13*I24</f>
        <v>31.700585000000004</v>
      </c>
      <c r="K24" s="505">
        <f>'Entry Sheet '!F16</f>
        <v>0</v>
      </c>
      <c r="L24" s="490">
        <f>K24/$L$13</f>
        <v>0</v>
      </c>
      <c r="M24" s="484">
        <f>K24-J24</f>
        <v>-31.700585000000004</v>
      </c>
      <c r="O24" s="488">
        <f>'W1 Forecast'!C47</f>
        <v>5.0000000000000001E-4</v>
      </c>
      <c r="P24" s="432">
        <f>$R$13*O24</f>
        <v>0</v>
      </c>
      <c r="Q24" s="505">
        <f>'Entry Sheet '!G16</f>
        <v>0</v>
      </c>
      <c r="R24" s="490" t="e">
        <f>Q24/$R$13</f>
        <v>#DIV/0!</v>
      </c>
      <c r="S24" s="484">
        <f>Q24-P24</f>
        <v>0</v>
      </c>
      <c r="U24" s="488">
        <f>'W1 Forecast'!C47</f>
        <v>5.0000000000000001E-4</v>
      </c>
      <c r="V24" s="432">
        <f>$X$13*U24</f>
        <v>0</v>
      </c>
      <c r="W24" s="505">
        <f>'Entry Sheet '!H16</f>
        <v>0</v>
      </c>
      <c r="X24" s="490" t="e">
        <f>W24/$X$13</f>
        <v>#DIV/0!</v>
      </c>
      <c r="Y24" s="484">
        <f>W24-V24</f>
        <v>0</v>
      </c>
      <c r="AA24" s="488">
        <f>'W1 Forecast'!C47</f>
        <v>5.0000000000000001E-4</v>
      </c>
      <c r="AB24" s="432">
        <f>$AD$13*AA24</f>
        <v>69.844940000000008</v>
      </c>
      <c r="AC24" s="505">
        <f>E24+K24+Q24+W24</f>
        <v>0</v>
      </c>
      <c r="AD24" s="490">
        <f>AC24/$AD$13</f>
        <v>0</v>
      </c>
      <c r="AE24" s="484">
        <f>AC24-AB24</f>
        <v>-69.844940000000008</v>
      </c>
    </row>
    <row r="25" spans="1:31">
      <c r="B25" s="653" t="s">
        <v>245</v>
      </c>
      <c r="C25" s="488">
        <f>'W1 Forecast'!C48</f>
        <v>0</v>
      </c>
      <c r="D25" s="432">
        <f t="shared" ref="D25:D40" si="16">$F$13*C25</f>
        <v>0</v>
      </c>
      <c r="E25" s="505">
        <f>'Entry Sheet '!E17</f>
        <v>172</v>
      </c>
      <c r="F25" s="650">
        <f t="shared" ref="F25:F41" si="17">E25/$F$13</f>
        <v>2.2545931108285881E-3</v>
      </c>
      <c r="G25" s="646">
        <f t="shared" ref="G25:G40" si="18">E25-D25</f>
        <v>172</v>
      </c>
      <c r="I25" s="488">
        <f>'W1 Forecast'!C48</f>
        <v>0</v>
      </c>
      <c r="J25" s="432">
        <f t="shared" ref="J25:J40" si="19">$L$13*I25</f>
        <v>0</v>
      </c>
      <c r="K25" s="505">
        <f>'Entry Sheet '!F17</f>
        <v>84</v>
      </c>
      <c r="L25" s="490">
        <f t="shared" ref="L25:L40" si="20">K25/$L$13</f>
        <v>1.3248966856605326E-3</v>
      </c>
      <c r="M25" s="484">
        <f t="shared" ref="M25:M40" si="21">K25-J25</f>
        <v>84</v>
      </c>
      <c r="O25" s="488">
        <f>'W1 Forecast'!C48</f>
        <v>0</v>
      </c>
      <c r="P25" s="432">
        <f t="shared" ref="P25:P40" si="22">$R$13*O25</f>
        <v>0</v>
      </c>
      <c r="Q25" s="505">
        <f>'Entry Sheet '!G17</f>
        <v>0</v>
      </c>
      <c r="R25" s="490" t="e">
        <f t="shared" ref="R25:R40" si="23">Q25/$R$13</f>
        <v>#DIV/0!</v>
      </c>
      <c r="S25" s="484">
        <f t="shared" ref="S25:S40" si="24">Q25-P25</f>
        <v>0</v>
      </c>
      <c r="U25" s="488">
        <f>'W1 Forecast'!C48</f>
        <v>0</v>
      </c>
      <c r="V25" s="432">
        <f t="shared" ref="V25:V40" si="25">$X$13*U25</f>
        <v>0</v>
      </c>
      <c r="W25" s="505">
        <f>'Entry Sheet '!H17</f>
        <v>0</v>
      </c>
      <c r="X25" s="490" t="e">
        <f t="shared" ref="X25:X40" si="26">W25/$X$13</f>
        <v>#DIV/0!</v>
      </c>
      <c r="Y25" s="484">
        <f t="shared" ref="Y25:Y40" si="27">W25-V25</f>
        <v>0</v>
      </c>
      <c r="AA25" s="488">
        <f>'W1 Forecast'!C48</f>
        <v>0</v>
      </c>
      <c r="AB25" s="432">
        <f t="shared" ref="AB25:AB40" si="28">$AD$13*AA25</f>
        <v>0</v>
      </c>
      <c r="AC25" s="505">
        <f t="shared" ref="AC25:AC40" si="29">E25+K25+Q25+W25</f>
        <v>256</v>
      </c>
      <c r="AD25" s="490">
        <f t="shared" ref="AD25:AD40" si="30">AC25/$AD$13</f>
        <v>1.8326309679699059E-3</v>
      </c>
      <c r="AE25" s="484">
        <f t="shared" ref="AE25:AE40" si="31">AC25-AB25</f>
        <v>256</v>
      </c>
    </row>
    <row r="26" spans="1:31">
      <c r="B26" s="653" t="s">
        <v>246</v>
      </c>
      <c r="C26" s="488">
        <f>'W1 Forecast'!C49</f>
        <v>3.7000000000000002E-3</v>
      </c>
      <c r="D26" s="432">
        <f t="shared" si="16"/>
        <v>282.26822699999997</v>
      </c>
      <c r="E26" s="505">
        <f>'Entry Sheet '!E18</f>
        <v>67.25</v>
      </c>
      <c r="F26" s="650">
        <f t="shared" si="17"/>
        <v>8.8151969013501488E-4</v>
      </c>
      <c r="G26" s="646">
        <f t="shared" si="18"/>
        <v>-215.01822699999997</v>
      </c>
      <c r="I26" s="488">
        <f>'W1 Forecast'!C49</f>
        <v>3.7000000000000002E-3</v>
      </c>
      <c r="J26" s="432">
        <f t="shared" si="19"/>
        <v>234.58432900000003</v>
      </c>
      <c r="K26" s="505">
        <f>'Entry Sheet '!F18</f>
        <v>120</v>
      </c>
      <c r="L26" s="490">
        <f t="shared" si="20"/>
        <v>1.892709550943618E-3</v>
      </c>
      <c r="M26" s="484">
        <f t="shared" si="21"/>
        <v>-114.58432900000003</v>
      </c>
      <c r="O26" s="488">
        <f>'W1 Forecast'!C49</f>
        <v>3.7000000000000002E-3</v>
      </c>
      <c r="P26" s="432">
        <f t="shared" si="22"/>
        <v>0</v>
      </c>
      <c r="Q26" s="505">
        <f>'Entry Sheet '!G18</f>
        <v>0</v>
      </c>
      <c r="R26" s="490" t="e">
        <f t="shared" si="23"/>
        <v>#DIV/0!</v>
      </c>
      <c r="S26" s="484">
        <f t="shared" si="24"/>
        <v>0</v>
      </c>
      <c r="U26" s="488">
        <f>'W1 Forecast'!C49</f>
        <v>3.7000000000000002E-3</v>
      </c>
      <c r="V26" s="432">
        <f t="shared" si="25"/>
        <v>0</v>
      </c>
      <c r="W26" s="505">
        <f>'Entry Sheet '!H18</f>
        <v>0</v>
      </c>
      <c r="X26" s="490" t="e">
        <f t="shared" si="26"/>
        <v>#DIV/0!</v>
      </c>
      <c r="Y26" s="484">
        <f t="shared" si="27"/>
        <v>0</v>
      </c>
      <c r="AA26" s="488">
        <f>'W1 Forecast'!C49</f>
        <v>3.7000000000000002E-3</v>
      </c>
      <c r="AB26" s="432">
        <f t="shared" si="28"/>
        <v>516.85255600000005</v>
      </c>
      <c r="AC26" s="505">
        <f t="shared" si="29"/>
        <v>187.25</v>
      </c>
      <c r="AD26" s="490">
        <f t="shared" si="30"/>
        <v>1.3404693310639254E-3</v>
      </c>
      <c r="AE26" s="484">
        <f t="shared" si="31"/>
        <v>-329.60255600000005</v>
      </c>
    </row>
    <row r="27" spans="1:31">
      <c r="B27" s="653" t="s">
        <v>247</v>
      </c>
      <c r="C27" s="488">
        <f>'W1 Forecast'!C50</f>
        <v>3.5999999999999999E-3</v>
      </c>
      <c r="D27" s="432">
        <f t="shared" si="16"/>
        <v>274.63935599999996</v>
      </c>
      <c r="E27" s="505">
        <f>'Entry Sheet '!E19</f>
        <v>183.5</v>
      </c>
      <c r="F27" s="650">
        <f t="shared" si="17"/>
        <v>2.4053362548665459E-3</v>
      </c>
      <c r="G27" s="646">
        <f t="shared" si="18"/>
        <v>-91.139355999999964</v>
      </c>
      <c r="I27" s="488">
        <f>'W1 Forecast'!C50</f>
        <v>3.5999999999999999E-3</v>
      </c>
      <c r="J27" s="432">
        <f t="shared" si="19"/>
        <v>228.244212</v>
      </c>
      <c r="K27" s="505">
        <f>'Entry Sheet '!F19</f>
        <v>122.25</v>
      </c>
      <c r="L27" s="490">
        <f t="shared" si="20"/>
        <v>1.9281978550238109E-3</v>
      </c>
      <c r="M27" s="484">
        <f t="shared" si="21"/>
        <v>-105.994212</v>
      </c>
      <c r="O27" s="488">
        <f>'W1 Forecast'!C50</f>
        <v>3.5999999999999999E-3</v>
      </c>
      <c r="P27" s="432">
        <f t="shared" si="22"/>
        <v>0</v>
      </c>
      <c r="Q27" s="505">
        <f>'Entry Sheet '!G19</f>
        <v>0</v>
      </c>
      <c r="R27" s="490" t="e">
        <f t="shared" si="23"/>
        <v>#DIV/0!</v>
      </c>
      <c r="S27" s="484">
        <f t="shared" si="24"/>
        <v>0</v>
      </c>
      <c r="U27" s="488">
        <f>'W1 Forecast'!C50</f>
        <v>3.5999999999999999E-3</v>
      </c>
      <c r="V27" s="432">
        <f t="shared" si="25"/>
        <v>0</v>
      </c>
      <c r="W27" s="505">
        <f>'Entry Sheet '!H19</f>
        <v>0</v>
      </c>
      <c r="X27" s="490" t="e">
        <f t="shared" si="26"/>
        <v>#DIV/0!</v>
      </c>
      <c r="Y27" s="484">
        <f t="shared" si="27"/>
        <v>0</v>
      </c>
      <c r="AA27" s="488">
        <f>'W1 Forecast'!C50</f>
        <v>3.5999999999999999E-3</v>
      </c>
      <c r="AB27" s="432">
        <f t="shared" si="28"/>
        <v>502.88356800000003</v>
      </c>
      <c r="AC27" s="505">
        <f t="shared" si="29"/>
        <v>305.75</v>
      </c>
      <c r="AD27" s="490">
        <f t="shared" si="30"/>
        <v>2.18877702522187E-3</v>
      </c>
      <c r="AE27" s="484">
        <f t="shared" si="31"/>
        <v>-197.13356800000003</v>
      </c>
    </row>
    <row r="28" spans="1:31">
      <c r="A28" s="520"/>
      <c r="B28" s="653" t="s">
        <v>248</v>
      </c>
      <c r="C28" s="488">
        <f>'W1 Forecast'!C51</f>
        <v>4.4000000000000003E-3</v>
      </c>
      <c r="D28" s="432">
        <f t="shared" si="16"/>
        <v>335.67032399999999</v>
      </c>
      <c r="E28" s="505">
        <f>'Entry Sheet '!E20</f>
        <v>348</v>
      </c>
      <c r="F28" s="650">
        <f t="shared" si="17"/>
        <v>4.5616186195834227E-3</v>
      </c>
      <c r="G28" s="646">
        <f t="shared" si="18"/>
        <v>12.329676000000006</v>
      </c>
      <c r="I28" s="488">
        <f>'W1 Forecast'!C51</f>
        <v>4.4000000000000003E-3</v>
      </c>
      <c r="J28" s="432">
        <f t="shared" si="19"/>
        <v>278.96514800000006</v>
      </c>
      <c r="K28" s="505">
        <f>'Entry Sheet '!F20</f>
        <v>379.5</v>
      </c>
      <c r="L28" s="490">
        <f t="shared" si="20"/>
        <v>5.985693954859192E-3</v>
      </c>
      <c r="M28" s="484">
        <f t="shared" si="21"/>
        <v>100.53485199999994</v>
      </c>
      <c r="O28" s="488">
        <f>'W1 Forecast'!C51</f>
        <v>4.4000000000000003E-3</v>
      </c>
      <c r="P28" s="432">
        <f t="shared" si="22"/>
        <v>0</v>
      </c>
      <c r="Q28" s="505">
        <f>'Entry Sheet '!G20</f>
        <v>0</v>
      </c>
      <c r="R28" s="490" t="e">
        <f t="shared" si="23"/>
        <v>#DIV/0!</v>
      </c>
      <c r="S28" s="484">
        <f t="shared" si="24"/>
        <v>0</v>
      </c>
      <c r="U28" s="488">
        <f>'W1 Forecast'!C51</f>
        <v>4.4000000000000003E-3</v>
      </c>
      <c r="V28" s="432">
        <f t="shared" si="25"/>
        <v>0</v>
      </c>
      <c r="W28" s="505">
        <f>'Entry Sheet '!H20</f>
        <v>0</v>
      </c>
      <c r="X28" s="490" t="e">
        <f t="shared" si="26"/>
        <v>#DIV/0!</v>
      </c>
      <c r="Y28" s="484">
        <f t="shared" si="27"/>
        <v>0</v>
      </c>
      <c r="AA28" s="488">
        <f>'W1 Forecast'!C51</f>
        <v>4.4000000000000003E-3</v>
      </c>
      <c r="AB28" s="432">
        <f t="shared" si="28"/>
        <v>614.63547200000005</v>
      </c>
      <c r="AC28" s="505">
        <f t="shared" si="29"/>
        <v>727.5</v>
      </c>
      <c r="AD28" s="490">
        <f t="shared" si="30"/>
        <v>5.2079649578051033E-3</v>
      </c>
      <c r="AE28" s="484">
        <f t="shared" si="31"/>
        <v>112.86452799999995</v>
      </c>
    </row>
    <row r="29" spans="1:31">
      <c r="A29" s="520"/>
      <c r="B29" s="653" t="s">
        <v>249</v>
      </c>
      <c r="C29" s="488">
        <f>'W1 Forecast'!C52</f>
        <v>3.5000000000000001E-3</v>
      </c>
      <c r="D29" s="432">
        <f t="shared" si="16"/>
        <v>267.01048499999996</v>
      </c>
      <c r="E29" s="505">
        <f>'Entry Sheet '!E21</f>
        <v>239.25</v>
      </c>
      <c r="F29" s="650">
        <f t="shared" si="17"/>
        <v>3.1361128009636031E-3</v>
      </c>
      <c r="G29" s="646">
        <f t="shared" si="18"/>
        <v>-27.76048499999996</v>
      </c>
      <c r="I29" s="488">
        <f>'W1 Forecast'!C52</f>
        <v>3.5000000000000001E-3</v>
      </c>
      <c r="J29" s="432">
        <f t="shared" si="19"/>
        <v>221.90409500000001</v>
      </c>
      <c r="K29" s="505">
        <f>'Entry Sheet '!F21</f>
        <v>128</v>
      </c>
      <c r="L29" s="490">
        <f t="shared" si="20"/>
        <v>2.0188901876731927E-3</v>
      </c>
      <c r="M29" s="484">
        <f t="shared" si="21"/>
        <v>-93.904095000000012</v>
      </c>
      <c r="O29" s="488">
        <f>'W1 Forecast'!C52</f>
        <v>3.5000000000000001E-3</v>
      </c>
      <c r="P29" s="432">
        <f t="shared" si="22"/>
        <v>0</v>
      </c>
      <c r="Q29" s="505">
        <f>'Entry Sheet '!G21</f>
        <v>0</v>
      </c>
      <c r="R29" s="490" t="e">
        <f t="shared" si="23"/>
        <v>#DIV/0!</v>
      </c>
      <c r="S29" s="484">
        <f t="shared" si="24"/>
        <v>0</v>
      </c>
      <c r="U29" s="488">
        <f>'W1 Forecast'!C52</f>
        <v>3.5000000000000001E-3</v>
      </c>
      <c r="V29" s="432">
        <f t="shared" si="25"/>
        <v>0</v>
      </c>
      <c r="W29" s="505">
        <f>'Entry Sheet '!H21</f>
        <v>0</v>
      </c>
      <c r="X29" s="490" t="e">
        <f t="shared" si="26"/>
        <v>#DIV/0!</v>
      </c>
      <c r="Y29" s="484">
        <f t="shared" si="27"/>
        <v>0</v>
      </c>
      <c r="AA29" s="488">
        <f>'W1 Forecast'!C52</f>
        <v>3.5000000000000001E-3</v>
      </c>
      <c r="AB29" s="432">
        <f t="shared" si="28"/>
        <v>488.91458</v>
      </c>
      <c r="AC29" s="505">
        <f t="shared" si="29"/>
        <v>367.25</v>
      </c>
      <c r="AD29" s="490">
        <f t="shared" si="30"/>
        <v>2.6290379804177655E-3</v>
      </c>
      <c r="AE29" s="484">
        <f t="shared" si="31"/>
        <v>-121.66458</v>
      </c>
    </row>
    <row r="30" spans="1:31">
      <c r="B30" s="653" t="s">
        <v>250</v>
      </c>
      <c r="C30" s="488">
        <f>'W1 Forecast'!C53</f>
        <v>5.0000000000000001E-4</v>
      </c>
      <c r="D30" s="432">
        <f t="shared" si="16"/>
        <v>38.144354999999997</v>
      </c>
      <c r="E30" s="505">
        <f>'Entry Sheet '!E22</f>
        <v>0</v>
      </c>
      <c r="F30" s="650">
        <f t="shared" si="17"/>
        <v>0</v>
      </c>
      <c r="G30" s="646">
        <f t="shared" si="18"/>
        <v>-38.144354999999997</v>
      </c>
      <c r="I30" s="488">
        <f>'W1 Forecast'!C53</f>
        <v>5.0000000000000001E-4</v>
      </c>
      <c r="J30" s="432">
        <f t="shared" si="19"/>
        <v>31.700585000000004</v>
      </c>
      <c r="K30" s="505">
        <f>'Entry Sheet '!F22</f>
        <v>0</v>
      </c>
      <c r="L30" s="490">
        <f t="shared" si="20"/>
        <v>0</v>
      </c>
      <c r="M30" s="484">
        <f t="shared" si="21"/>
        <v>-31.700585000000004</v>
      </c>
      <c r="O30" s="488">
        <f>'W1 Forecast'!C53</f>
        <v>5.0000000000000001E-4</v>
      </c>
      <c r="P30" s="432">
        <f t="shared" si="22"/>
        <v>0</v>
      </c>
      <c r="Q30" s="505">
        <f>'Entry Sheet '!G22</f>
        <v>0</v>
      </c>
      <c r="R30" s="490" t="e">
        <f t="shared" si="23"/>
        <v>#DIV/0!</v>
      </c>
      <c r="S30" s="484">
        <f t="shared" si="24"/>
        <v>0</v>
      </c>
      <c r="U30" s="488">
        <f>'W1 Forecast'!C53</f>
        <v>5.0000000000000001E-4</v>
      </c>
      <c r="V30" s="432">
        <f t="shared" si="25"/>
        <v>0</v>
      </c>
      <c r="W30" s="505">
        <f>'Entry Sheet '!H22</f>
        <v>0</v>
      </c>
      <c r="X30" s="490" t="e">
        <f t="shared" si="26"/>
        <v>#DIV/0!</v>
      </c>
      <c r="Y30" s="484">
        <f t="shared" si="27"/>
        <v>0</v>
      </c>
      <c r="AA30" s="488">
        <f>'W1 Forecast'!C53</f>
        <v>5.0000000000000001E-4</v>
      </c>
      <c r="AB30" s="432">
        <f t="shared" si="28"/>
        <v>69.844940000000008</v>
      </c>
      <c r="AC30" s="505">
        <f t="shared" si="29"/>
        <v>0</v>
      </c>
      <c r="AD30" s="490">
        <f t="shared" si="30"/>
        <v>0</v>
      </c>
      <c r="AE30" s="484">
        <f t="shared" si="31"/>
        <v>-69.844940000000008</v>
      </c>
    </row>
    <row r="31" spans="1:31">
      <c r="B31" s="653" t="s">
        <v>251</v>
      </c>
      <c r="C31" s="488">
        <f>'W1 Forecast'!C54</f>
        <v>5.9999999999999995E-4</v>
      </c>
      <c r="D31" s="432">
        <f t="shared" si="16"/>
        <v>45.773225999999994</v>
      </c>
      <c r="E31" s="505">
        <f>'Entry Sheet '!E23</f>
        <v>0</v>
      </c>
      <c r="F31" s="650">
        <f t="shared" si="17"/>
        <v>0</v>
      </c>
      <c r="G31" s="646">
        <f t="shared" si="18"/>
        <v>-45.773225999999994</v>
      </c>
      <c r="I31" s="488">
        <f>'W1 Forecast'!C54</f>
        <v>5.9999999999999995E-4</v>
      </c>
      <c r="J31" s="432">
        <f t="shared" si="19"/>
        <v>38.040702000000003</v>
      </c>
      <c r="K31" s="505">
        <f>'Entry Sheet '!F23</f>
        <v>0</v>
      </c>
      <c r="L31" s="490">
        <f t="shared" si="20"/>
        <v>0</v>
      </c>
      <c r="M31" s="484">
        <f t="shared" si="21"/>
        <v>-38.040702000000003</v>
      </c>
      <c r="O31" s="488">
        <f>'W1 Forecast'!C54</f>
        <v>5.9999999999999995E-4</v>
      </c>
      <c r="P31" s="432">
        <f t="shared" si="22"/>
        <v>0</v>
      </c>
      <c r="Q31" s="505">
        <f>'Entry Sheet '!G23</f>
        <v>0</v>
      </c>
      <c r="R31" s="490" t="e">
        <f t="shared" si="23"/>
        <v>#DIV/0!</v>
      </c>
      <c r="S31" s="484">
        <f t="shared" si="24"/>
        <v>0</v>
      </c>
      <c r="U31" s="488">
        <f>'W1 Forecast'!C54</f>
        <v>5.9999999999999995E-4</v>
      </c>
      <c r="V31" s="432">
        <f t="shared" si="25"/>
        <v>0</v>
      </c>
      <c r="W31" s="505">
        <f>'Entry Sheet '!H23</f>
        <v>0</v>
      </c>
      <c r="X31" s="490" t="e">
        <f t="shared" si="26"/>
        <v>#DIV/0!</v>
      </c>
      <c r="Y31" s="484">
        <f t="shared" si="27"/>
        <v>0</v>
      </c>
      <c r="AA31" s="488">
        <f>'W1 Forecast'!C54</f>
        <v>5.9999999999999995E-4</v>
      </c>
      <c r="AB31" s="432">
        <f t="shared" si="28"/>
        <v>83.81392799999999</v>
      </c>
      <c r="AC31" s="505">
        <f t="shared" si="29"/>
        <v>0</v>
      </c>
      <c r="AD31" s="490">
        <f t="shared" si="30"/>
        <v>0</v>
      </c>
      <c r="AE31" s="484">
        <f t="shared" si="31"/>
        <v>-83.81392799999999</v>
      </c>
    </row>
    <row r="32" spans="1:31">
      <c r="B32" s="653" t="s">
        <v>252</v>
      </c>
      <c r="C32" s="488">
        <f>'W1 Forecast'!C55</f>
        <v>5.0000000000000001E-4</v>
      </c>
      <c r="D32" s="432">
        <f t="shared" si="16"/>
        <v>38.144354999999997</v>
      </c>
      <c r="E32" s="505">
        <f>'Entry Sheet '!E24</f>
        <v>153</v>
      </c>
      <c r="F32" s="650">
        <f t="shared" si="17"/>
        <v>2.0055392206789185E-3</v>
      </c>
      <c r="G32" s="646">
        <f t="shared" si="18"/>
        <v>114.85564500000001</v>
      </c>
      <c r="I32" s="488">
        <f>'W1 Forecast'!C55</f>
        <v>5.0000000000000001E-4</v>
      </c>
      <c r="J32" s="432">
        <f t="shared" si="19"/>
        <v>31.700585000000004</v>
      </c>
      <c r="K32" s="505">
        <f>'Entry Sheet '!F24</f>
        <v>96</v>
      </c>
      <c r="L32" s="490">
        <f t="shared" si="20"/>
        <v>1.5141676407548945E-3</v>
      </c>
      <c r="M32" s="484">
        <f t="shared" si="21"/>
        <v>64.299414999999996</v>
      </c>
      <c r="O32" s="488">
        <f>'W1 Forecast'!C55</f>
        <v>5.0000000000000001E-4</v>
      </c>
      <c r="P32" s="432">
        <f t="shared" si="22"/>
        <v>0</v>
      </c>
      <c r="Q32" s="505">
        <f>'Entry Sheet '!G24</f>
        <v>0</v>
      </c>
      <c r="R32" s="490" t="e">
        <f t="shared" si="23"/>
        <v>#DIV/0!</v>
      </c>
      <c r="S32" s="484">
        <f t="shared" si="24"/>
        <v>0</v>
      </c>
      <c r="U32" s="488">
        <f>'W1 Forecast'!C55</f>
        <v>5.0000000000000001E-4</v>
      </c>
      <c r="V32" s="432">
        <f t="shared" si="25"/>
        <v>0</v>
      </c>
      <c r="W32" s="505">
        <f>'Entry Sheet '!H24</f>
        <v>0</v>
      </c>
      <c r="X32" s="490" t="e">
        <f t="shared" si="26"/>
        <v>#DIV/0!</v>
      </c>
      <c r="Y32" s="484">
        <f t="shared" si="27"/>
        <v>0</v>
      </c>
      <c r="AA32" s="488">
        <f>'W1 Forecast'!C55</f>
        <v>5.0000000000000001E-4</v>
      </c>
      <c r="AB32" s="432">
        <f t="shared" si="28"/>
        <v>69.844940000000008</v>
      </c>
      <c r="AC32" s="505">
        <f t="shared" si="29"/>
        <v>249</v>
      </c>
      <c r="AD32" s="490">
        <f t="shared" si="30"/>
        <v>1.7825199649394788E-3</v>
      </c>
      <c r="AE32" s="484">
        <f t="shared" si="31"/>
        <v>179.15505999999999</v>
      </c>
    </row>
    <row r="33" spans="1:31">
      <c r="B33" s="653" t="s">
        <v>205</v>
      </c>
      <c r="C33" s="488">
        <f>'W1 Forecast'!C56</f>
        <v>8.9999999999999998E-4</v>
      </c>
      <c r="D33" s="432">
        <f t="shared" si="16"/>
        <v>68.659838999999991</v>
      </c>
      <c r="E33" s="505">
        <f>'Entry Sheet '!E25</f>
        <v>0</v>
      </c>
      <c r="F33" s="650">
        <f t="shared" si="17"/>
        <v>0</v>
      </c>
      <c r="G33" s="646">
        <f t="shared" si="18"/>
        <v>-68.659838999999991</v>
      </c>
      <c r="I33" s="488">
        <f>'W1 Forecast'!C56</f>
        <v>8.9999999999999998E-4</v>
      </c>
      <c r="J33" s="432">
        <f t="shared" si="19"/>
        <v>57.061053000000001</v>
      </c>
      <c r="K33" s="505">
        <f>'Entry Sheet '!F25</f>
        <v>0</v>
      </c>
      <c r="L33" s="490">
        <f t="shared" si="20"/>
        <v>0</v>
      </c>
      <c r="M33" s="484">
        <f t="shared" si="21"/>
        <v>-57.061053000000001</v>
      </c>
      <c r="O33" s="488">
        <f>'W1 Forecast'!C56</f>
        <v>8.9999999999999998E-4</v>
      </c>
      <c r="P33" s="432">
        <f t="shared" si="22"/>
        <v>0</v>
      </c>
      <c r="Q33" s="505">
        <f>'Entry Sheet '!G25</f>
        <v>0</v>
      </c>
      <c r="R33" s="490" t="e">
        <f t="shared" si="23"/>
        <v>#DIV/0!</v>
      </c>
      <c r="S33" s="484">
        <f t="shared" si="24"/>
        <v>0</v>
      </c>
      <c r="U33" s="488">
        <f>'W1 Forecast'!C56</f>
        <v>8.9999999999999998E-4</v>
      </c>
      <c r="V33" s="432">
        <f t="shared" si="25"/>
        <v>0</v>
      </c>
      <c r="W33" s="505">
        <f>'Entry Sheet '!H25</f>
        <v>0</v>
      </c>
      <c r="X33" s="490" t="e">
        <f t="shared" si="26"/>
        <v>#DIV/0!</v>
      </c>
      <c r="Y33" s="484">
        <f t="shared" si="27"/>
        <v>0</v>
      </c>
      <c r="AA33" s="488">
        <f>'W1 Forecast'!C56</f>
        <v>8.9999999999999998E-4</v>
      </c>
      <c r="AB33" s="432">
        <f t="shared" si="28"/>
        <v>125.72089200000001</v>
      </c>
      <c r="AC33" s="505">
        <f t="shared" si="29"/>
        <v>0</v>
      </c>
      <c r="AD33" s="490">
        <f t="shared" si="30"/>
        <v>0</v>
      </c>
      <c r="AE33" s="484">
        <f t="shared" si="31"/>
        <v>-125.72089200000001</v>
      </c>
    </row>
    <row r="34" spans="1:31">
      <c r="B34" s="653" t="s">
        <v>253</v>
      </c>
      <c r="C34" s="488">
        <f>'W1 Forecast'!C57</f>
        <v>1E-3</v>
      </c>
      <c r="D34" s="432">
        <f t="shared" si="16"/>
        <v>76.288709999999995</v>
      </c>
      <c r="E34" s="505">
        <f>'Entry Sheet '!E26</f>
        <v>0</v>
      </c>
      <c r="F34" s="650">
        <f t="shared" si="17"/>
        <v>0</v>
      </c>
      <c r="G34" s="646">
        <f t="shared" si="18"/>
        <v>-76.288709999999995</v>
      </c>
      <c r="I34" s="488">
        <f>'W1 Forecast'!C57</f>
        <v>1E-3</v>
      </c>
      <c r="J34" s="432">
        <f t="shared" si="19"/>
        <v>63.401170000000008</v>
      </c>
      <c r="K34" s="505">
        <f>'Entry Sheet '!F26</f>
        <v>0</v>
      </c>
      <c r="L34" s="490">
        <f t="shared" si="20"/>
        <v>0</v>
      </c>
      <c r="M34" s="484">
        <f t="shared" si="21"/>
        <v>-63.401170000000008</v>
      </c>
      <c r="O34" s="488">
        <f>'W1 Forecast'!C57</f>
        <v>1E-3</v>
      </c>
      <c r="P34" s="432">
        <f t="shared" si="22"/>
        <v>0</v>
      </c>
      <c r="Q34" s="505">
        <f>'Entry Sheet '!G26</f>
        <v>0</v>
      </c>
      <c r="R34" s="490" t="e">
        <f t="shared" si="23"/>
        <v>#DIV/0!</v>
      </c>
      <c r="S34" s="484">
        <f t="shared" si="24"/>
        <v>0</v>
      </c>
      <c r="U34" s="488">
        <f>'W1 Forecast'!C57</f>
        <v>1E-3</v>
      </c>
      <c r="V34" s="432">
        <f t="shared" si="25"/>
        <v>0</v>
      </c>
      <c r="W34" s="505">
        <f>'Entry Sheet '!H26</f>
        <v>0</v>
      </c>
      <c r="X34" s="490" t="e">
        <f t="shared" si="26"/>
        <v>#DIV/0!</v>
      </c>
      <c r="Y34" s="484">
        <f t="shared" si="27"/>
        <v>0</v>
      </c>
      <c r="AA34" s="488">
        <f>'W1 Forecast'!C57</f>
        <v>1E-3</v>
      </c>
      <c r="AB34" s="432">
        <f t="shared" si="28"/>
        <v>139.68988000000002</v>
      </c>
      <c r="AC34" s="505">
        <f t="shared" si="29"/>
        <v>0</v>
      </c>
      <c r="AD34" s="490">
        <f t="shared" si="30"/>
        <v>0</v>
      </c>
      <c r="AE34" s="484">
        <f t="shared" si="31"/>
        <v>-139.68988000000002</v>
      </c>
    </row>
    <row r="35" spans="1:31">
      <c r="B35" s="653" t="s">
        <v>254</v>
      </c>
      <c r="C35" s="488">
        <f>'W1 Forecast'!C58</f>
        <v>5.0000000000000001E-4</v>
      </c>
      <c r="D35" s="432">
        <f t="shared" si="16"/>
        <v>38.144354999999997</v>
      </c>
      <c r="E35" s="505">
        <f>'Entry Sheet '!E27</f>
        <v>93</v>
      </c>
      <c r="F35" s="650">
        <f t="shared" si="17"/>
        <v>1.2190532517852249E-3</v>
      </c>
      <c r="G35" s="646">
        <f t="shared" si="18"/>
        <v>54.855645000000003</v>
      </c>
      <c r="I35" s="488">
        <f>'W1 Forecast'!C58</f>
        <v>5.0000000000000001E-4</v>
      </c>
      <c r="J35" s="432">
        <f t="shared" si="19"/>
        <v>31.700585000000004</v>
      </c>
      <c r="K35" s="505">
        <f>'Entry Sheet '!F27</f>
        <v>74.5</v>
      </c>
      <c r="L35" s="490">
        <f t="shared" si="20"/>
        <v>1.1750571795441629E-3</v>
      </c>
      <c r="M35" s="484">
        <f t="shared" si="21"/>
        <v>42.799414999999996</v>
      </c>
      <c r="O35" s="488">
        <f>'W1 Forecast'!C58</f>
        <v>5.0000000000000001E-4</v>
      </c>
      <c r="P35" s="432">
        <f t="shared" si="22"/>
        <v>0</v>
      </c>
      <c r="Q35" s="505">
        <f>'Entry Sheet '!G27</f>
        <v>0</v>
      </c>
      <c r="R35" s="490" t="e">
        <f t="shared" si="23"/>
        <v>#DIV/0!</v>
      </c>
      <c r="S35" s="484">
        <f t="shared" si="24"/>
        <v>0</v>
      </c>
      <c r="U35" s="488">
        <f>'W1 Forecast'!C58</f>
        <v>5.0000000000000001E-4</v>
      </c>
      <c r="V35" s="432">
        <f t="shared" si="25"/>
        <v>0</v>
      </c>
      <c r="W35" s="505">
        <f>'Entry Sheet '!H27</f>
        <v>0</v>
      </c>
      <c r="X35" s="490" t="e">
        <f t="shared" si="26"/>
        <v>#DIV/0!</v>
      </c>
      <c r="Y35" s="484">
        <f t="shared" si="27"/>
        <v>0</v>
      </c>
      <c r="AA35" s="488">
        <f>'W1 Forecast'!C58</f>
        <v>5.0000000000000001E-4</v>
      </c>
      <c r="AB35" s="432">
        <f t="shared" si="28"/>
        <v>69.844940000000008</v>
      </c>
      <c r="AC35" s="505">
        <f t="shared" si="29"/>
        <v>167.5</v>
      </c>
      <c r="AD35" s="490">
        <f t="shared" si="30"/>
        <v>1.1990847153709346E-3</v>
      </c>
      <c r="AE35" s="484">
        <f t="shared" si="31"/>
        <v>97.655059999999992</v>
      </c>
    </row>
    <row r="36" spans="1:31">
      <c r="B36" s="653" t="s">
        <v>255</v>
      </c>
      <c r="C36" s="488">
        <f>'W1 Forecast'!C59</f>
        <v>5.0000000000000001E-4</v>
      </c>
      <c r="D36" s="432">
        <f t="shared" si="16"/>
        <v>38.144354999999997</v>
      </c>
      <c r="E36" s="505">
        <f>'Entry Sheet '!E28</f>
        <v>11</v>
      </c>
      <c r="F36" s="650">
        <f t="shared" si="17"/>
        <v>1.4418909429717713E-4</v>
      </c>
      <c r="G36" s="646">
        <f t="shared" si="18"/>
        <v>-27.144354999999997</v>
      </c>
      <c r="I36" s="488">
        <f>'W1 Forecast'!C59</f>
        <v>5.0000000000000001E-4</v>
      </c>
      <c r="J36" s="432">
        <f t="shared" si="19"/>
        <v>31.700585000000004</v>
      </c>
      <c r="K36" s="505">
        <f>'Entry Sheet '!F28</f>
        <v>0</v>
      </c>
      <c r="L36" s="490">
        <f t="shared" si="20"/>
        <v>0</v>
      </c>
      <c r="M36" s="484">
        <f t="shared" si="21"/>
        <v>-31.700585000000004</v>
      </c>
      <c r="O36" s="488">
        <f>'W1 Forecast'!C59</f>
        <v>5.0000000000000001E-4</v>
      </c>
      <c r="P36" s="432">
        <f t="shared" si="22"/>
        <v>0</v>
      </c>
      <c r="Q36" s="505">
        <f>'Entry Sheet '!G28</f>
        <v>0</v>
      </c>
      <c r="R36" s="490" t="e">
        <f t="shared" si="23"/>
        <v>#DIV/0!</v>
      </c>
      <c r="S36" s="484">
        <f t="shared" si="24"/>
        <v>0</v>
      </c>
      <c r="U36" s="488">
        <f>'W1 Forecast'!C59</f>
        <v>5.0000000000000001E-4</v>
      </c>
      <c r="V36" s="432">
        <f t="shared" si="25"/>
        <v>0</v>
      </c>
      <c r="W36" s="505">
        <f>'Entry Sheet '!H28</f>
        <v>0</v>
      </c>
      <c r="X36" s="490" t="e">
        <f t="shared" si="26"/>
        <v>#DIV/0!</v>
      </c>
      <c r="Y36" s="484">
        <f t="shared" si="27"/>
        <v>0</v>
      </c>
      <c r="AA36" s="488">
        <f>'W1 Forecast'!C59</f>
        <v>5.0000000000000001E-4</v>
      </c>
      <c r="AB36" s="432">
        <f t="shared" si="28"/>
        <v>69.844940000000008</v>
      </c>
      <c r="AC36" s="505">
        <f t="shared" si="29"/>
        <v>11</v>
      </c>
      <c r="AD36" s="490">
        <f t="shared" si="30"/>
        <v>7.874586190495689E-5</v>
      </c>
      <c r="AE36" s="484">
        <f t="shared" si="31"/>
        <v>-58.844940000000008</v>
      </c>
    </row>
    <row r="37" spans="1:31">
      <c r="B37" s="653" t="s">
        <v>256</v>
      </c>
      <c r="C37" s="488">
        <f>'W1 Forecast'!C60</f>
        <v>1E-3</v>
      </c>
      <c r="D37" s="432">
        <f t="shared" si="16"/>
        <v>76.288709999999995</v>
      </c>
      <c r="E37" s="505">
        <f>'Entry Sheet '!E29</f>
        <v>93</v>
      </c>
      <c r="F37" s="650">
        <f t="shared" si="17"/>
        <v>1.2190532517852249E-3</v>
      </c>
      <c r="G37" s="646">
        <f t="shared" si="18"/>
        <v>16.711290000000005</v>
      </c>
      <c r="I37" s="488">
        <f>'W1 Forecast'!C60</f>
        <v>1E-3</v>
      </c>
      <c r="J37" s="432">
        <f t="shared" si="19"/>
        <v>63.401170000000008</v>
      </c>
      <c r="K37" s="505">
        <f>'Entry Sheet '!F29</f>
        <v>100</v>
      </c>
      <c r="L37" s="490">
        <f t="shared" si="20"/>
        <v>1.5772579591196818E-3</v>
      </c>
      <c r="M37" s="484">
        <f t="shared" si="21"/>
        <v>36.598829999999992</v>
      </c>
      <c r="O37" s="488">
        <f>'W1 Forecast'!C60</f>
        <v>1E-3</v>
      </c>
      <c r="P37" s="432">
        <f t="shared" si="22"/>
        <v>0</v>
      </c>
      <c r="Q37" s="505">
        <f>'Entry Sheet '!G29</f>
        <v>0</v>
      </c>
      <c r="R37" s="490" t="e">
        <f t="shared" si="23"/>
        <v>#DIV/0!</v>
      </c>
      <c r="S37" s="484">
        <f t="shared" si="24"/>
        <v>0</v>
      </c>
      <c r="U37" s="488">
        <f>'W1 Forecast'!C60</f>
        <v>1E-3</v>
      </c>
      <c r="V37" s="432">
        <f t="shared" si="25"/>
        <v>0</v>
      </c>
      <c r="W37" s="505">
        <f>'Entry Sheet '!H29</f>
        <v>0</v>
      </c>
      <c r="X37" s="490" t="e">
        <f t="shared" si="26"/>
        <v>#DIV/0!</v>
      </c>
      <c r="Y37" s="484">
        <f t="shared" si="27"/>
        <v>0</v>
      </c>
      <c r="AA37" s="488">
        <f>'W1 Forecast'!C60</f>
        <v>1E-3</v>
      </c>
      <c r="AB37" s="432">
        <f t="shared" si="28"/>
        <v>139.68988000000002</v>
      </c>
      <c r="AC37" s="505">
        <f t="shared" si="29"/>
        <v>193</v>
      </c>
      <c r="AD37" s="490">
        <f t="shared" si="30"/>
        <v>1.3816319406960618E-3</v>
      </c>
      <c r="AE37" s="484">
        <f t="shared" si="31"/>
        <v>53.310119999999984</v>
      </c>
    </row>
    <row r="38" spans="1:31">
      <c r="B38" s="653" t="s">
        <v>257</v>
      </c>
      <c r="C38" s="488">
        <f>'W1 Forecast'!C61</f>
        <v>1.7399999999999999E-2</v>
      </c>
      <c r="D38" s="432">
        <f t="shared" si="16"/>
        <v>1327.4235539999997</v>
      </c>
      <c r="E38" s="505">
        <f>'Entry Sheet '!E30</f>
        <v>1295.82</v>
      </c>
      <c r="F38" s="650">
        <f t="shared" si="17"/>
        <v>1.6985737470197097E-2</v>
      </c>
      <c r="G38" s="646">
        <f t="shared" si="18"/>
        <v>-31.603553999999804</v>
      </c>
      <c r="I38" s="488">
        <f>'W1 Forecast'!C61</f>
        <v>1.7399999999999999E-2</v>
      </c>
      <c r="J38" s="432">
        <f t="shared" si="19"/>
        <v>1103.1803580000001</v>
      </c>
      <c r="K38" s="505">
        <f>'Entry Sheet '!F30</f>
        <v>1626.54</v>
      </c>
      <c r="L38" s="490">
        <f t="shared" si="20"/>
        <v>2.5654731608265272E-2</v>
      </c>
      <c r="M38" s="484">
        <f t="shared" si="21"/>
        <v>523.35964199999989</v>
      </c>
      <c r="O38" s="488">
        <f>'W1 Forecast'!C61</f>
        <v>1.7399999999999999E-2</v>
      </c>
      <c r="P38" s="432">
        <f t="shared" si="22"/>
        <v>0</v>
      </c>
      <c r="Q38" s="505">
        <f>'Entry Sheet '!G30</f>
        <v>0</v>
      </c>
      <c r="R38" s="490" t="e">
        <f t="shared" si="23"/>
        <v>#DIV/0!</v>
      </c>
      <c r="S38" s="484">
        <f t="shared" si="24"/>
        <v>0</v>
      </c>
      <c r="U38" s="488">
        <f>'W1 Forecast'!C61</f>
        <v>1.7399999999999999E-2</v>
      </c>
      <c r="V38" s="432">
        <f t="shared" si="25"/>
        <v>0</v>
      </c>
      <c r="W38" s="505">
        <f>'Entry Sheet '!H30</f>
        <v>0</v>
      </c>
      <c r="X38" s="490" t="e">
        <f t="shared" si="26"/>
        <v>#DIV/0!</v>
      </c>
      <c r="Y38" s="484">
        <f t="shared" si="27"/>
        <v>0</v>
      </c>
      <c r="AA38" s="488">
        <f>'W1 Forecast'!C61</f>
        <v>1.7399999999999999E-2</v>
      </c>
      <c r="AB38" s="432">
        <f t="shared" si="28"/>
        <v>2430.603912</v>
      </c>
      <c r="AC38" s="505">
        <f t="shared" si="29"/>
        <v>2922.3599999999997</v>
      </c>
      <c r="AD38" s="490">
        <f t="shared" si="30"/>
        <v>2.0920341545142707E-2</v>
      </c>
      <c r="AE38" s="484">
        <f t="shared" si="31"/>
        <v>491.75608799999964</v>
      </c>
    </row>
    <row r="39" spans="1:31">
      <c r="B39" s="653" t="s">
        <v>258</v>
      </c>
      <c r="C39" s="488">
        <f>'W1 Forecast'!C62</f>
        <v>3.0000000000000001E-3</v>
      </c>
      <c r="D39" s="432">
        <f t="shared" si="16"/>
        <v>228.86612999999997</v>
      </c>
      <c r="E39" s="505">
        <f>'Entry Sheet '!E31</f>
        <v>93.022999999999996</v>
      </c>
      <c r="F39" s="650">
        <f t="shared" si="17"/>
        <v>1.2193547380733008E-3</v>
      </c>
      <c r="G39" s="646">
        <f t="shared" si="18"/>
        <v>-135.84312999999997</v>
      </c>
      <c r="I39" s="488">
        <f>'W1 Forecast'!C62</f>
        <v>3.0000000000000001E-3</v>
      </c>
      <c r="J39" s="432">
        <f t="shared" si="19"/>
        <v>190.20351000000002</v>
      </c>
      <c r="K39" s="505">
        <f>'Entry Sheet '!F31</f>
        <v>702.9</v>
      </c>
      <c r="L39" s="490">
        <f t="shared" si="20"/>
        <v>1.1086546194652243E-2</v>
      </c>
      <c r="M39" s="484">
        <f t="shared" si="21"/>
        <v>512.69648999999993</v>
      </c>
      <c r="O39" s="488">
        <f>'W1 Forecast'!C62</f>
        <v>3.0000000000000001E-3</v>
      </c>
      <c r="P39" s="432">
        <f t="shared" si="22"/>
        <v>0</v>
      </c>
      <c r="Q39" s="505">
        <f>'Entry Sheet '!G31</f>
        <v>0</v>
      </c>
      <c r="R39" s="490" t="e">
        <f t="shared" si="23"/>
        <v>#DIV/0!</v>
      </c>
      <c r="S39" s="484">
        <f t="shared" si="24"/>
        <v>0</v>
      </c>
      <c r="U39" s="488">
        <f>'W1 Forecast'!C62</f>
        <v>3.0000000000000001E-3</v>
      </c>
      <c r="V39" s="432">
        <f t="shared" si="25"/>
        <v>0</v>
      </c>
      <c r="W39" s="505">
        <f>'Entry Sheet '!H31</f>
        <v>0</v>
      </c>
      <c r="X39" s="490" t="e">
        <f t="shared" si="26"/>
        <v>#DIV/0!</v>
      </c>
      <c r="Y39" s="484">
        <f t="shared" si="27"/>
        <v>0</v>
      </c>
      <c r="AA39" s="488">
        <f>'W1 Forecast'!C62</f>
        <v>3.0000000000000001E-3</v>
      </c>
      <c r="AB39" s="432">
        <f t="shared" si="28"/>
        <v>419.06964000000005</v>
      </c>
      <c r="AC39" s="505">
        <f t="shared" si="29"/>
        <v>795.923</v>
      </c>
      <c r="AD39" s="490">
        <f t="shared" si="30"/>
        <v>5.6977856949980915E-3</v>
      </c>
      <c r="AE39" s="484">
        <f t="shared" si="31"/>
        <v>376.85335999999995</v>
      </c>
    </row>
    <row r="40" spans="1:31" ht="15.75" thickBot="1">
      <c r="B40" s="653" t="s">
        <v>259</v>
      </c>
      <c r="C40" s="504">
        <f>'W1 Forecast'!C63</f>
        <v>5.0000000000000001E-4</v>
      </c>
      <c r="D40" s="518">
        <f t="shared" si="16"/>
        <v>38.144354999999997</v>
      </c>
      <c r="E40" s="525">
        <f>'Entry Sheet '!E32</f>
        <v>0</v>
      </c>
      <c r="F40" s="651">
        <f t="shared" si="17"/>
        <v>0</v>
      </c>
      <c r="G40" s="647">
        <f t="shared" si="18"/>
        <v>-38.144354999999997</v>
      </c>
      <c r="I40" s="504">
        <f>'W1 Forecast'!C63</f>
        <v>5.0000000000000001E-4</v>
      </c>
      <c r="J40" s="518">
        <f t="shared" si="19"/>
        <v>31.700585000000004</v>
      </c>
      <c r="K40" s="525">
        <f>'Entry Sheet '!F32</f>
        <v>0</v>
      </c>
      <c r="L40" s="524">
        <f t="shared" si="20"/>
        <v>0</v>
      </c>
      <c r="M40" s="461">
        <f t="shared" si="21"/>
        <v>-31.700585000000004</v>
      </c>
      <c r="O40" s="504">
        <f>'W1 Forecast'!C63</f>
        <v>5.0000000000000001E-4</v>
      </c>
      <c r="P40" s="518">
        <f t="shared" si="22"/>
        <v>0</v>
      </c>
      <c r="Q40" s="525">
        <f>'Entry Sheet '!G32</f>
        <v>0</v>
      </c>
      <c r="R40" s="524" t="e">
        <f t="shared" si="23"/>
        <v>#DIV/0!</v>
      </c>
      <c r="S40" s="461">
        <f t="shared" si="24"/>
        <v>0</v>
      </c>
      <c r="U40" s="504">
        <f>'W1 Forecast'!C63</f>
        <v>5.0000000000000001E-4</v>
      </c>
      <c r="V40" s="518">
        <f t="shared" si="25"/>
        <v>0</v>
      </c>
      <c r="W40" s="525">
        <f>'Entry Sheet '!H32</f>
        <v>0</v>
      </c>
      <c r="X40" s="524" t="e">
        <f t="shared" si="26"/>
        <v>#DIV/0!</v>
      </c>
      <c r="Y40" s="461">
        <f t="shared" si="27"/>
        <v>0</v>
      </c>
      <c r="AA40" s="504">
        <f>'W1 Forecast'!C63</f>
        <v>5.0000000000000001E-4</v>
      </c>
      <c r="AB40" s="518">
        <f t="shared" si="28"/>
        <v>69.844940000000008</v>
      </c>
      <c r="AC40" s="525">
        <f t="shared" si="29"/>
        <v>0</v>
      </c>
      <c r="AD40" s="524">
        <f t="shared" si="30"/>
        <v>0</v>
      </c>
      <c r="AE40" s="461">
        <f t="shared" si="31"/>
        <v>-69.844940000000008</v>
      </c>
    </row>
    <row r="41" spans="1:31" ht="15.75" thickBot="1">
      <c r="A41" s="520"/>
      <c r="B41" s="430" t="s">
        <v>0</v>
      </c>
      <c r="C41" s="462">
        <f>D41/F13</f>
        <v>4.2099999999999992E-2</v>
      </c>
      <c r="D41" s="441">
        <f>SUM(D24:D40)</f>
        <v>3211.7546909999992</v>
      </c>
      <c r="E41" s="521">
        <f>SUM(E24:E40)</f>
        <v>2748.8429999999998</v>
      </c>
      <c r="F41" s="652">
        <f t="shared" si="17"/>
        <v>3.6032107503194119E-2</v>
      </c>
      <c r="G41" s="648">
        <f>SUM(G24:G40)</f>
        <v>-462.91169099999956</v>
      </c>
      <c r="I41" s="462">
        <f>J41/L13</f>
        <v>4.2099999999999999E-2</v>
      </c>
      <c r="J41" s="441">
        <f>SUM(J24:J40)</f>
        <v>2669.189257</v>
      </c>
      <c r="K41" s="521">
        <f>SUM(K24:K40)</f>
        <v>3433.69</v>
      </c>
      <c r="L41" s="474">
        <f>K41/$L$13</f>
        <v>5.4158148816496603E-2</v>
      </c>
      <c r="M41" s="441">
        <f>SUM(M24:M40)</f>
        <v>764.50074299999972</v>
      </c>
      <c r="O41" s="462" t="e">
        <f>P41/R13</f>
        <v>#DIV/0!</v>
      </c>
      <c r="P41" s="441">
        <f>SUM(P24:P40)</f>
        <v>0</v>
      </c>
      <c r="Q41" s="521">
        <f>SUM(Q24:Q40)</f>
        <v>0</v>
      </c>
      <c r="R41" s="474" t="e">
        <f>Q41/$R$13</f>
        <v>#DIV/0!</v>
      </c>
      <c r="S41" s="441">
        <f>SUM(S24:S40)</f>
        <v>0</v>
      </c>
      <c r="U41" s="462" t="e">
        <f>V41/X13</f>
        <v>#DIV/0!</v>
      </c>
      <c r="V41" s="441">
        <f>SUM(V24:V40)</f>
        <v>0</v>
      </c>
      <c r="W41" s="521">
        <f>SUM(W24:W40)</f>
        <v>0</v>
      </c>
      <c r="X41" s="474" t="e">
        <f>W41/$X$13</f>
        <v>#DIV/0!</v>
      </c>
      <c r="Y41" s="441">
        <f>SUM(Y24:Y40)</f>
        <v>0</v>
      </c>
      <c r="AA41" s="462">
        <f>AB41/AD13</f>
        <v>4.2099999999999992E-2</v>
      </c>
      <c r="AB41" s="441">
        <f>SUM(AB24:AB40)</f>
        <v>5880.9439479999992</v>
      </c>
      <c r="AC41" s="521">
        <f>SUM(AC24:AC40)</f>
        <v>6182.5329999999994</v>
      </c>
      <c r="AD41" s="474">
        <f>AC41/$AD$13</f>
        <v>4.4258989985530801E-2</v>
      </c>
      <c r="AE41" s="441">
        <f>SUM(AE24:AE40)</f>
        <v>301.58905199999941</v>
      </c>
    </row>
    <row r="42" spans="1:31" ht="15.75" thickBot="1">
      <c r="C42" s="433"/>
      <c r="D42" s="8"/>
      <c r="E42" s="494"/>
      <c r="F42" s="449"/>
      <c r="G42" s="8"/>
      <c r="I42" s="433"/>
      <c r="J42" s="8"/>
      <c r="K42" s="494"/>
      <c r="L42" s="449"/>
      <c r="M42" s="8"/>
      <c r="O42" s="433"/>
      <c r="P42" s="8"/>
      <c r="Q42" s="494"/>
      <c r="R42" s="449"/>
      <c r="S42" s="8"/>
      <c r="U42" s="433"/>
      <c r="V42" s="8"/>
      <c r="W42" s="494"/>
      <c r="X42" s="449"/>
      <c r="Y42" s="8"/>
      <c r="AA42" s="433"/>
      <c r="AB42" s="8"/>
      <c r="AC42" s="494"/>
      <c r="AD42" s="449"/>
      <c r="AE42" s="8"/>
    </row>
    <row r="43" spans="1:31">
      <c r="B43" s="19" t="s">
        <v>210</v>
      </c>
      <c r="C43" s="473">
        <f>'W1 Forecast'!C66</f>
        <v>1.04E-2</v>
      </c>
      <c r="D43" s="535">
        <f>$F$13*C43</f>
        <v>793.40258399999993</v>
      </c>
      <c r="E43" s="536">
        <f>'Entry Sheet '!E107</f>
        <v>876.71</v>
      </c>
      <c r="F43" s="539">
        <f>E43/$F$13</f>
        <v>1.1492001896479835E-2</v>
      </c>
      <c r="G43" s="540">
        <f>E43-D43</f>
        <v>83.307416000000103</v>
      </c>
      <c r="I43" s="473">
        <f>'W1 Forecast'!C66</f>
        <v>1.04E-2</v>
      </c>
      <c r="J43" s="535">
        <f>$L$13*I43</f>
        <v>659.37216799999999</v>
      </c>
      <c r="K43" s="536">
        <f>'Entry Sheet '!F107</f>
        <v>684.97</v>
      </c>
      <c r="L43" s="539">
        <f>K43/$L$13</f>
        <v>1.0803743842582085E-2</v>
      </c>
      <c r="M43" s="540">
        <f>K43-J43</f>
        <v>25.597832000000039</v>
      </c>
      <c r="O43" s="473">
        <f>'W1 Forecast'!C66</f>
        <v>1.04E-2</v>
      </c>
      <c r="P43" s="535">
        <f>$R$13*O43</f>
        <v>0</v>
      </c>
      <c r="Q43" s="536">
        <f>'Entry Sheet '!G107</f>
        <v>0</v>
      </c>
      <c r="R43" s="539" t="e">
        <f>Q43/$R$13</f>
        <v>#DIV/0!</v>
      </c>
      <c r="S43" s="540">
        <f>Q43-P43</f>
        <v>0</v>
      </c>
      <c r="U43" s="473">
        <f>'W1 Forecast'!C66</f>
        <v>1.04E-2</v>
      </c>
      <c r="V43" s="535">
        <f>$X$13*U43</f>
        <v>0</v>
      </c>
      <c r="W43" s="536">
        <f>'Entry Sheet '!H107</f>
        <v>0</v>
      </c>
      <c r="X43" s="539" t="e">
        <f>W43/$X$13</f>
        <v>#DIV/0!</v>
      </c>
      <c r="Y43" s="540">
        <f>W43-V43</f>
        <v>0</v>
      </c>
      <c r="AA43" s="473">
        <f>'W1 Forecast'!C66</f>
        <v>1.04E-2</v>
      </c>
      <c r="AB43" s="535">
        <f>$AD$13*AA43</f>
        <v>1452.774752</v>
      </c>
      <c r="AC43" s="536">
        <f>'Entry Sheet '!I107</f>
        <v>1561.68</v>
      </c>
      <c r="AD43" s="539">
        <f>AC43/$AD$13</f>
        <v>1.1179621601793917E-2</v>
      </c>
      <c r="AE43" s="540">
        <f>AC43-AB43</f>
        <v>108.90524800000003</v>
      </c>
    </row>
    <row r="44" spans="1:31">
      <c r="B44" s="19" t="s">
        <v>211</v>
      </c>
      <c r="C44" s="436">
        <f>'W1 Forecast'!C67</f>
        <v>7.4999999999999997E-3</v>
      </c>
      <c r="D44" s="432">
        <f t="shared" ref="D44:D46" si="32">$F$13*C44</f>
        <v>572.16532499999994</v>
      </c>
      <c r="E44" s="471">
        <f>'Entry Sheet '!E108</f>
        <v>101.8</v>
      </c>
      <c r="F44" s="490">
        <f t="shared" ref="F44:F46" si="33">E44/$F$13</f>
        <v>1.3344045272229666E-3</v>
      </c>
      <c r="G44" s="484">
        <f t="shared" ref="G44:G46" si="34">E44-D44</f>
        <v>-470.36532499999993</v>
      </c>
      <c r="I44" s="436">
        <f>'W1 Forecast'!C67</f>
        <v>7.4999999999999997E-3</v>
      </c>
      <c r="J44" s="432">
        <f>$L$13*I44</f>
        <v>475.50877500000001</v>
      </c>
      <c r="K44" s="471">
        <f>'Entry Sheet '!F108</f>
        <v>21.27</v>
      </c>
      <c r="L44" s="490">
        <f>K44/$L$13</f>
        <v>3.3548276790475629E-4</v>
      </c>
      <c r="M44" s="484">
        <f t="shared" ref="M44:M46" si="35">K44-J44</f>
        <v>-454.23877500000003</v>
      </c>
      <c r="O44" s="436">
        <f>'W1 Forecast'!C67</f>
        <v>7.4999999999999997E-3</v>
      </c>
      <c r="P44" s="432">
        <f>$R$13*O44</f>
        <v>0</v>
      </c>
      <c r="Q44" s="471">
        <f>'Entry Sheet '!G108</f>
        <v>0</v>
      </c>
      <c r="R44" s="490" t="e">
        <f>Q44/$R$13</f>
        <v>#DIV/0!</v>
      </c>
      <c r="S44" s="484">
        <f t="shared" ref="S44:S46" si="36">Q44-P44</f>
        <v>0</v>
      </c>
      <c r="U44" s="436">
        <f>'W1 Forecast'!C67</f>
        <v>7.4999999999999997E-3</v>
      </c>
      <c r="V44" s="432">
        <f>$X$13*U44</f>
        <v>0</v>
      </c>
      <c r="W44" s="471">
        <f>'Entry Sheet '!H108</f>
        <v>0</v>
      </c>
      <c r="X44" s="490" t="e">
        <f>W44/$X$13</f>
        <v>#DIV/0!</v>
      </c>
      <c r="Y44" s="484">
        <f t="shared" ref="Y44:Y46" si="37">W44-V44</f>
        <v>0</v>
      </c>
      <c r="AA44" s="436">
        <f>'W1 Forecast'!C67</f>
        <v>7.4999999999999997E-3</v>
      </c>
      <c r="AB44" s="432">
        <f>$AD$13*AA44</f>
        <v>1047.6741</v>
      </c>
      <c r="AC44" s="471">
        <f>'Entry Sheet '!I108</f>
        <v>123.07</v>
      </c>
      <c r="AD44" s="490">
        <f>AC44/$AD$13</f>
        <v>8.8102302042209488E-4</v>
      </c>
      <c r="AE44" s="484">
        <f t="shared" ref="AE44:AE46" si="38">AC44-AB44</f>
        <v>-924.60410000000002</v>
      </c>
    </row>
    <row r="45" spans="1:31">
      <c r="B45" s="19" t="s">
        <v>212</v>
      </c>
      <c r="C45" s="436">
        <f>'W1 Forecast'!C68</f>
        <v>1.3899999999999999E-2</v>
      </c>
      <c r="D45" s="432">
        <f t="shared" si="32"/>
        <v>1060.4130689999997</v>
      </c>
      <c r="E45" s="471">
        <f>'Entry Sheet '!E109</f>
        <v>960.96</v>
      </c>
      <c r="F45" s="490">
        <f t="shared" si="33"/>
        <v>1.2596359277801396E-2</v>
      </c>
      <c r="G45" s="484">
        <f t="shared" si="34"/>
        <v>-99.453068999999687</v>
      </c>
      <c r="I45" s="436">
        <f>'W1 Forecast'!C68</f>
        <v>1.3899999999999999E-2</v>
      </c>
      <c r="J45" s="432">
        <f>$L$13*I45</f>
        <v>881.27626299999997</v>
      </c>
      <c r="K45" s="471">
        <f>'Entry Sheet '!F109</f>
        <v>1399.8899999999999</v>
      </c>
      <c r="L45" s="490">
        <f>K45/$L$13</f>
        <v>2.207987644392051E-2</v>
      </c>
      <c r="M45" s="484">
        <f t="shared" si="35"/>
        <v>518.6137369999999</v>
      </c>
      <c r="O45" s="436">
        <f>'W1 Forecast'!C68</f>
        <v>1.3899999999999999E-2</v>
      </c>
      <c r="P45" s="432">
        <f>$R$13*O45</f>
        <v>0</v>
      </c>
      <c r="Q45" s="471">
        <f>'Entry Sheet '!G109</f>
        <v>0</v>
      </c>
      <c r="R45" s="490" t="e">
        <f>Q45/$R$13</f>
        <v>#DIV/0!</v>
      </c>
      <c r="S45" s="484">
        <f t="shared" si="36"/>
        <v>0</v>
      </c>
      <c r="U45" s="436">
        <f>'W1 Forecast'!C68</f>
        <v>1.3899999999999999E-2</v>
      </c>
      <c r="V45" s="432">
        <f>$X$13*U45</f>
        <v>0</v>
      </c>
      <c r="W45" s="471">
        <f>'Entry Sheet '!H109</f>
        <v>0</v>
      </c>
      <c r="X45" s="490" t="e">
        <f>W45/$X$13</f>
        <v>#DIV/0!</v>
      </c>
      <c r="Y45" s="484">
        <f t="shared" si="37"/>
        <v>0</v>
      </c>
      <c r="AA45" s="436">
        <f>'W1 Forecast'!C68</f>
        <v>1.3899999999999999E-2</v>
      </c>
      <c r="AB45" s="432">
        <f>$AD$13*AA45</f>
        <v>1941.6893319999999</v>
      </c>
      <c r="AC45" s="471">
        <f>'Entry Sheet '!I109</f>
        <v>2360.85</v>
      </c>
      <c r="AD45" s="490">
        <f>AC45/$AD$13</f>
        <v>1.6900651643483408E-2</v>
      </c>
      <c r="AE45" s="484">
        <f t="shared" si="38"/>
        <v>419.16066799999999</v>
      </c>
    </row>
    <row r="46" spans="1:31" ht="15.75" thickBot="1">
      <c r="B46" s="19" t="s">
        <v>213</v>
      </c>
      <c r="C46" s="503">
        <f>'W1 Forecast'!C69</f>
        <v>0.04</v>
      </c>
      <c r="D46" s="518">
        <f t="shared" si="32"/>
        <v>3051.5483999999997</v>
      </c>
      <c r="E46" s="537">
        <f>D46</f>
        <v>3051.5483999999997</v>
      </c>
      <c r="F46" s="524">
        <f t="shared" si="33"/>
        <v>0.04</v>
      </c>
      <c r="G46" s="461">
        <f t="shared" si="34"/>
        <v>0</v>
      </c>
      <c r="I46" s="503">
        <f>'W1 Forecast'!C69</f>
        <v>0.04</v>
      </c>
      <c r="J46" s="518">
        <f>$L$13*I46</f>
        <v>2536.0468000000001</v>
      </c>
      <c r="K46" s="537">
        <f>J46</f>
        <v>2536.0468000000001</v>
      </c>
      <c r="L46" s="524">
        <f>K46/$L$13</f>
        <v>0.04</v>
      </c>
      <c r="M46" s="461">
        <f t="shared" si="35"/>
        <v>0</v>
      </c>
      <c r="O46" s="503">
        <f>'W1 Forecast'!C69</f>
        <v>0.04</v>
      </c>
      <c r="P46" s="518">
        <f>$R$13*O46</f>
        <v>0</v>
      </c>
      <c r="Q46" s="537">
        <f>P46</f>
        <v>0</v>
      </c>
      <c r="R46" s="524" t="e">
        <f>Q46/$R$13</f>
        <v>#DIV/0!</v>
      </c>
      <c r="S46" s="461">
        <f t="shared" si="36"/>
        <v>0</v>
      </c>
      <c r="U46" s="503">
        <f>'W1 Forecast'!C69</f>
        <v>0.04</v>
      </c>
      <c r="V46" s="518">
        <f>$X$13*U46</f>
        <v>0</v>
      </c>
      <c r="W46" s="537">
        <f>V46</f>
        <v>0</v>
      </c>
      <c r="X46" s="524" t="e">
        <f>W46/$X$13</f>
        <v>#DIV/0!</v>
      </c>
      <c r="Y46" s="461">
        <f t="shared" si="37"/>
        <v>0</v>
      </c>
      <c r="AA46" s="503">
        <f>'W1 Forecast'!C69</f>
        <v>0.04</v>
      </c>
      <c r="AB46" s="518">
        <f>$AD$13*AA46</f>
        <v>5587.5952000000007</v>
      </c>
      <c r="AC46" s="537">
        <f>AB46</f>
        <v>5587.5952000000007</v>
      </c>
      <c r="AD46" s="524">
        <f>AC46/$AD$13</f>
        <v>0.04</v>
      </c>
      <c r="AE46" s="461">
        <f t="shared" si="38"/>
        <v>0</v>
      </c>
    </row>
    <row r="47" spans="1:31" ht="15.75" thickBot="1">
      <c r="A47" s="428"/>
      <c r="B47" s="430" t="s">
        <v>214</v>
      </c>
      <c r="C47" s="462">
        <f>D47/F13</f>
        <v>7.1800000000000003E-2</v>
      </c>
      <c r="D47" s="502">
        <f>SUM(D43:D46)</f>
        <v>5477.5293779999993</v>
      </c>
      <c r="E47" s="538">
        <f>SUM(E43:E46)</f>
        <v>4991.0183999999999</v>
      </c>
      <c r="F47" s="522">
        <f>E47/F13</f>
        <v>6.5422765701504196E-2</v>
      </c>
      <c r="G47" s="441">
        <f>SUM(G43:G46)</f>
        <v>-486.51097799999951</v>
      </c>
      <c r="H47" s="428"/>
      <c r="I47" s="462">
        <f>J47/L13</f>
        <v>7.1799999999999989E-2</v>
      </c>
      <c r="J47" s="502">
        <f>SUM(J43:J46)</f>
        <v>4552.2040059999999</v>
      </c>
      <c r="K47" s="538">
        <f>SUM(K43:K46)</f>
        <v>4642.1768000000002</v>
      </c>
      <c r="L47" s="522">
        <f>K47/L13</f>
        <v>7.3219103054407347E-2</v>
      </c>
      <c r="M47" s="441">
        <f>SUM(M43:M46)</f>
        <v>89.972793999999908</v>
      </c>
      <c r="N47" s="428"/>
      <c r="O47" s="462" t="e">
        <f>P47/R13</f>
        <v>#DIV/0!</v>
      </c>
      <c r="P47" s="502">
        <f>SUM(P43:P46)</f>
        <v>0</v>
      </c>
      <c r="Q47" s="538">
        <f>SUM(Q43:Q46)</f>
        <v>0</v>
      </c>
      <c r="R47" s="522" t="e">
        <f>Q47/R13</f>
        <v>#DIV/0!</v>
      </c>
      <c r="S47" s="441">
        <f>SUM(S43:S46)</f>
        <v>0</v>
      </c>
      <c r="T47" s="428"/>
      <c r="U47" s="462" t="e">
        <f>V47/X13</f>
        <v>#DIV/0!</v>
      </c>
      <c r="V47" s="502">
        <f>SUM(V43:V46)</f>
        <v>0</v>
      </c>
      <c r="W47" s="538">
        <f>SUM(W43:W46)</f>
        <v>0</v>
      </c>
      <c r="X47" s="522" t="e">
        <f>W47/X13</f>
        <v>#DIV/0!</v>
      </c>
      <c r="Y47" s="441">
        <f>SUM(Y43:Y46)</f>
        <v>0</v>
      </c>
      <c r="AA47" s="462">
        <f>AB47/AD13</f>
        <v>7.1799999999999989E-2</v>
      </c>
      <c r="AB47" s="502">
        <f>SUM(AB43:AB46)</f>
        <v>10029.733383999999</v>
      </c>
      <c r="AC47" s="538">
        <f>SUM(AC43:AC46)</f>
        <v>9633.1952000000001</v>
      </c>
      <c r="AD47" s="522">
        <f>AC47/AD13</f>
        <v>6.8961296265699412E-2</v>
      </c>
      <c r="AE47" s="441">
        <f>SUM(AE43:AE46)</f>
        <v>-396.538184</v>
      </c>
    </row>
    <row r="48" spans="1:31" ht="15.75" thickBot="1">
      <c r="C48" s="433"/>
      <c r="D48" s="8"/>
      <c r="E48" s="7"/>
      <c r="F48" s="449"/>
      <c r="G48" s="8"/>
      <c r="I48" s="433"/>
      <c r="J48" s="8"/>
      <c r="K48" s="7"/>
      <c r="L48" s="449"/>
      <c r="M48" s="8"/>
      <c r="O48" s="433"/>
      <c r="P48" s="8"/>
      <c r="Q48" s="7"/>
      <c r="R48" s="449"/>
      <c r="S48" s="8"/>
      <c r="U48" s="433"/>
      <c r="V48" s="8"/>
      <c r="W48" s="7"/>
      <c r="X48" s="449"/>
      <c r="Y48" s="8"/>
      <c r="AA48" s="433"/>
      <c r="AB48" s="8"/>
      <c r="AC48" s="7"/>
      <c r="AD48" s="449"/>
      <c r="AE48" s="8"/>
    </row>
    <row r="49" spans="1:31" ht="15.75">
      <c r="A49" s="428"/>
      <c r="B49" s="431" t="s">
        <v>215</v>
      </c>
      <c r="C49" s="434" t="s">
        <v>13</v>
      </c>
      <c r="D49" s="429" t="s">
        <v>12</v>
      </c>
      <c r="E49" s="478" t="s">
        <v>229</v>
      </c>
      <c r="F49" s="487" t="s">
        <v>230</v>
      </c>
      <c r="G49" s="429" t="s">
        <v>51</v>
      </c>
      <c r="H49" s="428"/>
      <c r="I49" s="434" t="s">
        <v>13</v>
      </c>
      <c r="J49" s="429" t="s">
        <v>12</v>
      </c>
      <c r="K49" s="478" t="s">
        <v>229</v>
      </c>
      <c r="L49" s="487" t="s">
        <v>230</v>
      </c>
      <c r="M49" s="429" t="s">
        <v>51</v>
      </c>
      <c r="N49" s="428"/>
      <c r="O49" s="434" t="s">
        <v>13</v>
      </c>
      <c r="P49" s="429" t="s">
        <v>12</v>
      </c>
      <c r="Q49" s="478" t="s">
        <v>229</v>
      </c>
      <c r="R49" s="487" t="s">
        <v>230</v>
      </c>
      <c r="S49" s="429" t="s">
        <v>51</v>
      </c>
      <c r="T49" s="428"/>
      <c r="U49" s="434" t="s">
        <v>13</v>
      </c>
      <c r="V49" s="429" t="s">
        <v>12</v>
      </c>
      <c r="W49" s="478" t="s">
        <v>229</v>
      </c>
      <c r="X49" s="487" t="s">
        <v>230</v>
      </c>
      <c r="Y49" s="429" t="s">
        <v>51</v>
      </c>
      <c r="AA49" s="434" t="s">
        <v>13</v>
      </c>
      <c r="AB49" s="429" t="s">
        <v>12</v>
      </c>
      <c r="AC49" s="478" t="s">
        <v>229</v>
      </c>
      <c r="AD49" s="487" t="s">
        <v>230</v>
      </c>
      <c r="AE49" s="429" t="s">
        <v>51</v>
      </c>
    </row>
    <row r="50" spans="1:31">
      <c r="B50" s="19" t="s">
        <v>216</v>
      </c>
      <c r="C50" s="436">
        <f>D50/F13</f>
        <v>2.5524386242735002E-2</v>
      </c>
      <c r="D50" s="506">
        <f>'W1 Forecast'!D73</f>
        <v>1947.2225000000001</v>
      </c>
      <c r="E50" s="507">
        <f>D50</f>
        <v>1947.2225000000001</v>
      </c>
      <c r="F50" s="490">
        <f>E50/$F$13</f>
        <v>2.5524386242735002E-2</v>
      </c>
      <c r="G50" s="484">
        <f>E50-D50</f>
        <v>0</v>
      </c>
      <c r="I50" s="436">
        <f>J50/L13</f>
        <v>3.0712721863019245E-2</v>
      </c>
      <c r="J50" s="506">
        <f>'W1 Forecast'!D73</f>
        <v>1947.2225000000001</v>
      </c>
      <c r="K50" s="507">
        <f>J50</f>
        <v>1947.2225000000001</v>
      </c>
      <c r="L50" s="490">
        <f>K50/$L$13</f>
        <v>3.0712721863019245E-2</v>
      </c>
      <c r="M50" s="484">
        <f>K50-J50</f>
        <v>0</v>
      </c>
      <c r="O50" s="436" t="e">
        <f>P50/R13</f>
        <v>#DIV/0!</v>
      </c>
      <c r="P50" s="506">
        <f>'W1 Forecast'!D73</f>
        <v>1947.2225000000001</v>
      </c>
      <c r="Q50" s="507">
        <f>P50</f>
        <v>1947.2225000000001</v>
      </c>
      <c r="R50" s="490" t="e">
        <f>Q50/$R$13</f>
        <v>#DIV/0!</v>
      </c>
      <c r="S50" s="484">
        <f>Q50-P50</f>
        <v>0</v>
      </c>
      <c r="U50" s="436" t="e">
        <f>V50/X13</f>
        <v>#DIV/0!</v>
      </c>
      <c r="V50" s="506">
        <f>'W1 Forecast'!D73</f>
        <v>1947.2225000000001</v>
      </c>
      <c r="W50" s="507">
        <f>V50</f>
        <v>1947.2225000000001</v>
      </c>
      <c r="X50" s="490" t="e">
        <f>W50/$X$13</f>
        <v>#DIV/0!</v>
      </c>
      <c r="Y50" s="484">
        <f>W50-V50</f>
        <v>0</v>
      </c>
      <c r="AA50" s="436">
        <f>AB50/AD13</f>
        <v>5.5758441484809067E-2</v>
      </c>
      <c r="AB50" s="506">
        <f>'W1 Forecast'!G73*4</f>
        <v>7788.89</v>
      </c>
      <c r="AC50" s="507">
        <f>AB50</f>
        <v>7788.89</v>
      </c>
      <c r="AD50" s="490">
        <f>AC50/$AD$13</f>
        <v>5.5758441484809067E-2</v>
      </c>
      <c r="AE50" s="484">
        <f>AC50-AB50</f>
        <v>0</v>
      </c>
    </row>
    <row r="51" spans="1:31">
      <c r="B51" s="19" t="s">
        <v>17</v>
      </c>
      <c r="C51" s="436">
        <f>D51/F13</f>
        <v>3.6551411080355145E-2</v>
      </c>
      <c r="D51" s="506">
        <f>'W1 Cost &amp; Sales'!I30</f>
        <v>2788.46</v>
      </c>
      <c r="E51" s="507">
        <f>D51</f>
        <v>2788.46</v>
      </c>
      <c r="F51" s="490">
        <f t="shared" ref="F51:F56" si="39">E51/$F$13</f>
        <v>3.6551411080355145E-2</v>
      </c>
      <c r="G51" s="484">
        <f t="shared" ref="G51:G56" si="40">E51-D51</f>
        <v>0</v>
      </c>
      <c r="I51" s="436">
        <f>J51/L13</f>
        <v>4.3981207286868676E-2</v>
      </c>
      <c r="J51" s="506">
        <f>'W2 Cost &amp; Sales'!I30</f>
        <v>2788.46</v>
      </c>
      <c r="K51" s="507">
        <f>J51</f>
        <v>2788.46</v>
      </c>
      <c r="L51" s="490">
        <f t="shared" ref="L51:L56" si="41">K51/$L$13</f>
        <v>4.3981207286868676E-2</v>
      </c>
      <c r="M51" s="484">
        <f t="shared" ref="M51:M56" si="42">K51-J51</f>
        <v>0</v>
      </c>
      <c r="O51" s="436" t="e">
        <f>P51/R13</f>
        <v>#DIV/0!</v>
      </c>
      <c r="P51" s="506">
        <f>'W3 Cost &amp; Sales '!I30</f>
        <v>2788.46</v>
      </c>
      <c r="Q51" s="507">
        <f>P51</f>
        <v>2788.46</v>
      </c>
      <c r="R51" s="490" t="e">
        <f t="shared" ref="R51:R56" si="43">Q51/$R$13</f>
        <v>#DIV/0!</v>
      </c>
      <c r="S51" s="484">
        <f t="shared" ref="S51:S56" si="44">Q51-P51</f>
        <v>0</v>
      </c>
      <c r="U51" s="436" t="e">
        <f>V51/X13</f>
        <v>#DIV/0!</v>
      </c>
      <c r="V51" s="506">
        <f>'W4 Cost &amp; Sales'!I30</f>
        <v>2788.46</v>
      </c>
      <c r="W51" s="507">
        <f>V51</f>
        <v>2788.46</v>
      </c>
      <c r="X51" s="490" t="e">
        <f t="shared" ref="X51:X56" si="45">W51/$X$13</f>
        <v>#DIV/0!</v>
      </c>
      <c r="Y51" s="484">
        <f t="shared" ref="Y51:Y56" si="46">W51-V51</f>
        <v>0</v>
      </c>
      <c r="AA51" s="436">
        <f>AB51/AD13</f>
        <v>7.9847158577271302E-2</v>
      </c>
      <c r="AB51" s="506">
        <f>'Period Summary'!I30</f>
        <v>11153.84</v>
      </c>
      <c r="AC51" s="507">
        <f>AB51</f>
        <v>11153.84</v>
      </c>
      <c r="AD51" s="490">
        <f t="shared" ref="AD51:AD56" si="47">AC51/$AD$13</f>
        <v>7.9847158577271302E-2</v>
      </c>
      <c r="AE51" s="484">
        <f t="shared" ref="AE51:AE56" si="48">AC51-AB51</f>
        <v>0</v>
      </c>
    </row>
    <row r="52" spans="1:31">
      <c r="B52" s="19" t="s">
        <v>217</v>
      </c>
      <c r="C52" s="436">
        <f>'W1 Forecast'!C75</f>
        <v>8.8300000000000003E-2</v>
      </c>
      <c r="D52" s="432">
        <f>F13*C52</f>
        <v>6736.2930929999993</v>
      </c>
      <c r="E52" s="508">
        <f>SUM('W1 Cost &amp; Sales'!I31:I38)</f>
        <v>7372.57</v>
      </c>
      <c r="F52" s="490">
        <f t="shared" si="39"/>
        <v>9.6640380994776301E-2</v>
      </c>
      <c r="G52" s="484">
        <f t="shared" si="40"/>
        <v>636.27690700000039</v>
      </c>
      <c r="I52" s="436">
        <f>'W1 Forecast'!C75</f>
        <v>8.8300000000000003E-2</v>
      </c>
      <c r="J52" s="432">
        <f>L13*I52</f>
        <v>5598.323311000001</v>
      </c>
      <c r="K52" s="508">
        <f>SUM('W2 Cost &amp; Sales'!I31:I38)</f>
        <v>6559.28</v>
      </c>
      <c r="L52" s="490">
        <f t="shared" si="41"/>
        <v>0.10345676586094546</v>
      </c>
      <c r="M52" s="484">
        <f t="shared" si="42"/>
        <v>960.95668899999873</v>
      </c>
      <c r="O52" s="436">
        <f>'W1 Forecast'!C75</f>
        <v>8.8300000000000003E-2</v>
      </c>
      <c r="P52" s="432">
        <f>R13*O52</f>
        <v>0</v>
      </c>
      <c r="Q52" s="508">
        <f>SUM('W3 Cost &amp; Sales '!I31:I38)</f>
        <v>0</v>
      </c>
      <c r="R52" s="490" t="e">
        <f t="shared" si="43"/>
        <v>#DIV/0!</v>
      </c>
      <c r="S52" s="484">
        <f t="shared" si="44"/>
        <v>0</v>
      </c>
      <c r="U52" s="436">
        <f>'W1 Forecast'!C75</f>
        <v>8.8300000000000003E-2</v>
      </c>
      <c r="V52" s="432">
        <f>X13*U52</f>
        <v>0</v>
      </c>
      <c r="W52" s="508">
        <f>SUM('W4 Cost &amp; Sales'!I31:I38)</f>
        <v>0</v>
      </c>
      <c r="X52" s="490" t="e">
        <f t="shared" si="45"/>
        <v>#DIV/0!</v>
      </c>
      <c r="Y52" s="484">
        <f t="shared" si="46"/>
        <v>0</v>
      </c>
      <c r="AA52" s="436">
        <f>'W1 Forecast'!C75</f>
        <v>8.8300000000000003E-2</v>
      </c>
      <c r="AB52" s="432">
        <f>AD13*AA52</f>
        <v>12334.616404</v>
      </c>
      <c r="AC52" s="508">
        <f>SUM('Period Summary'!I31:I38)</f>
        <v>13931.85</v>
      </c>
      <c r="AD52" s="490">
        <f t="shared" si="47"/>
        <v>9.9734139652779427E-2</v>
      </c>
      <c r="AE52" s="484">
        <f t="shared" si="48"/>
        <v>1597.233596</v>
      </c>
    </row>
    <row r="53" spans="1:31">
      <c r="B53" s="19" t="s">
        <v>16</v>
      </c>
      <c r="C53" s="436">
        <f>D53/F13</f>
        <v>3.0350231377618005E-2</v>
      </c>
      <c r="D53" s="506">
        <f>'W1 Cost &amp; Sales'!I40</f>
        <v>2315.38</v>
      </c>
      <c r="E53" s="507">
        <f>D53</f>
        <v>2315.38</v>
      </c>
      <c r="F53" s="490">
        <f t="shared" si="39"/>
        <v>3.0350231377618005E-2</v>
      </c>
      <c r="G53" s="484">
        <f t="shared" si="40"/>
        <v>0</v>
      </c>
      <c r="I53" s="436">
        <f>J53/L13</f>
        <v>3.6519515333865285E-2</v>
      </c>
      <c r="J53" s="506">
        <f>'W2 Cost &amp; Sales'!I40</f>
        <v>2315.38</v>
      </c>
      <c r="K53" s="507">
        <f>J53</f>
        <v>2315.38</v>
      </c>
      <c r="L53" s="490">
        <f t="shared" si="41"/>
        <v>3.6519515333865285E-2</v>
      </c>
      <c r="M53" s="484">
        <f t="shared" si="42"/>
        <v>0</v>
      </c>
      <c r="O53" s="436" t="e">
        <f>P53/R13</f>
        <v>#DIV/0!</v>
      </c>
      <c r="P53" s="506">
        <f>'W3 Cost &amp; Sales '!I40</f>
        <v>2315.38</v>
      </c>
      <c r="Q53" s="507">
        <f>P53</f>
        <v>2315.38</v>
      </c>
      <c r="R53" s="490" t="e">
        <f t="shared" si="43"/>
        <v>#DIV/0!</v>
      </c>
      <c r="S53" s="484">
        <f t="shared" si="44"/>
        <v>0</v>
      </c>
      <c r="U53" s="436" t="e">
        <f>V53/X13</f>
        <v>#DIV/0!</v>
      </c>
      <c r="V53" s="506">
        <f>'W4 Cost &amp; Sales'!I40</f>
        <v>2315.38</v>
      </c>
      <c r="W53" s="507">
        <f>V53</f>
        <v>2315.38</v>
      </c>
      <c r="X53" s="490" t="e">
        <f t="shared" si="45"/>
        <v>#DIV/0!</v>
      </c>
      <c r="Y53" s="484">
        <f t="shared" si="46"/>
        <v>0</v>
      </c>
      <c r="AA53" s="436">
        <f>AB53/AD13</f>
        <v>6.6300579540908761E-2</v>
      </c>
      <c r="AB53" s="506">
        <f>'Period Summary'!I40</f>
        <v>9261.52</v>
      </c>
      <c r="AC53" s="507">
        <f>AB53</f>
        <v>9261.52</v>
      </c>
      <c r="AD53" s="490">
        <f t="shared" si="47"/>
        <v>6.6300579540908761E-2</v>
      </c>
      <c r="AE53" s="484">
        <f t="shared" si="48"/>
        <v>0</v>
      </c>
    </row>
    <row r="54" spans="1:31">
      <c r="B54" s="19" t="s">
        <v>218</v>
      </c>
      <c r="C54" s="436">
        <f>'W1 Forecast'!C77</f>
        <v>8.4800000000000014E-2</v>
      </c>
      <c r="D54" s="432">
        <f>F13*C54</f>
        <v>6469.2826080000004</v>
      </c>
      <c r="E54" s="508">
        <f>SUM('W1 Cost &amp; Sales'!I41:I48)</f>
        <v>5086.3899999999994</v>
      </c>
      <c r="F54" s="490">
        <f t="shared" si="39"/>
        <v>6.6672906122019884E-2</v>
      </c>
      <c r="G54" s="484">
        <f t="shared" si="40"/>
        <v>-1382.892608000001</v>
      </c>
      <c r="I54" s="436">
        <f>'W1 Forecast'!C77</f>
        <v>8.4800000000000014E-2</v>
      </c>
      <c r="J54" s="432">
        <f>L13*I54</f>
        <v>5376.4192160000011</v>
      </c>
      <c r="K54" s="508">
        <f>SUM('W2 Cost &amp; Sales'!I41:I48)</f>
        <v>3990.7999999999997</v>
      </c>
      <c r="L54" s="490">
        <f t="shared" si="41"/>
        <v>6.2945210632548251E-2</v>
      </c>
      <c r="M54" s="484">
        <f t="shared" si="42"/>
        <v>-1385.6192160000014</v>
      </c>
      <c r="O54" s="436">
        <f>'W1 Forecast'!C77</f>
        <v>8.4800000000000014E-2</v>
      </c>
      <c r="P54" s="432">
        <f>R13*O54</f>
        <v>0</v>
      </c>
      <c r="Q54" s="508">
        <f>SUM('W3 Cost &amp; Sales '!I41:I48)</f>
        <v>0</v>
      </c>
      <c r="R54" s="490" t="e">
        <f t="shared" si="43"/>
        <v>#DIV/0!</v>
      </c>
      <c r="S54" s="484">
        <f t="shared" si="44"/>
        <v>0</v>
      </c>
      <c r="U54" s="436">
        <f>'W1 Forecast'!C77</f>
        <v>8.4800000000000014E-2</v>
      </c>
      <c r="V54" s="432">
        <f>X13*U54</f>
        <v>0</v>
      </c>
      <c r="W54" s="508">
        <f>SUM('W4 Cost &amp; Sales'!I41:I48)</f>
        <v>0</v>
      </c>
      <c r="X54" s="490" t="e">
        <f t="shared" si="45"/>
        <v>#DIV/0!</v>
      </c>
      <c r="Y54" s="484">
        <f t="shared" si="46"/>
        <v>0</v>
      </c>
      <c r="AA54" s="436">
        <f>'W1 Forecast'!C77</f>
        <v>8.4800000000000014E-2</v>
      </c>
      <c r="AB54" s="432">
        <f>AD13*AA54</f>
        <v>11845.701824000002</v>
      </c>
      <c r="AC54" s="508">
        <f>SUM('Period Summary'!I41:I48)</f>
        <v>9077.1899999999987</v>
      </c>
      <c r="AD54" s="490">
        <f t="shared" si="47"/>
        <v>6.4981013656823225E-2</v>
      </c>
      <c r="AE54" s="484">
        <f t="shared" si="48"/>
        <v>-2768.5118240000029</v>
      </c>
    </row>
    <row r="55" spans="1:31" hidden="1">
      <c r="B55" s="19" t="s">
        <v>219</v>
      </c>
      <c r="C55" s="436">
        <f>D55/F13</f>
        <v>0</v>
      </c>
      <c r="D55" s="506">
        <f>'W1 Forecast'!D78</f>
        <v>0</v>
      </c>
      <c r="E55" s="507">
        <f>D55</f>
        <v>0</v>
      </c>
      <c r="F55" s="490">
        <f t="shared" si="39"/>
        <v>0</v>
      </c>
      <c r="G55" s="484">
        <f t="shared" si="40"/>
        <v>0</v>
      </c>
      <c r="I55" s="436">
        <f>J55/L13</f>
        <v>0</v>
      </c>
      <c r="J55" s="506">
        <f>'W1 Forecast'!D78</f>
        <v>0</v>
      </c>
      <c r="K55" s="507">
        <f>J55</f>
        <v>0</v>
      </c>
      <c r="L55" s="490">
        <f t="shared" si="41"/>
        <v>0</v>
      </c>
      <c r="M55" s="484">
        <f t="shared" si="42"/>
        <v>0</v>
      </c>
      <c r="O55" s="436" t="e">
        <f>P55/R13</f>
        <v>#DIV/0!</v>
      </c>
      <c r="P55" s="506">
        <f>'W1 Forecast'!D78</f>
        <v>0</v>
      </c>
      <c r="Q55" s="507">
        <f>P55</f>
        <v>0</v>
      </c>
      <c r="R55" s="490" t="e">
        <f t="shared" si="43"/>
        <v>#DIV/0!</v>
      </c>
      <c r="S55" s="484">
        <f t="shared" si="44"/>
        <v>0</v>
      </c>
      <c r="U55" s="436" t="e">
        <f>V55/X13</f>
        <v>#DIV/0!</v>
      </c>
      <c r="V55" s="506">
        <f>'W1 Forecast'!D78</f>
        <v>0</v>
      </c>
      <c r="W55" s="507">
        <f>V55</f>
        <v>0</v>
      </c>
      <c r="X55" s="490" t="e">
        <f t="shared" si="45"/>
        <v>#DIV/0!</v>
      </c>
      <c r="Y55" s="484">
        <f t="shared" si="46"/>
        <v>0</v>
      </c>
      <c r="AA55" s="436">
        <f>AB55/AD13</f>
        <v>0</v>
      </c>
      <c r="AB55" s="506">
        <f>'W1 Forecast'!G78*4</f>
        <v>0</v>
      </c>
      <c r="AC55" s="507">
        <f>AB55</f>
        <v>0</v>
      </c>
      <c r="AD55" s="490">
        <f t="shared" si="47"/>
        <v>0</v>
      </c>
      <c r="AE55" s="484">
        <f t="shared" si="48"/>
        <v>0</v>
      </c>
    </row>
    <row r="56" spans="1:31" ht="15.75" thickBot="1">
      <c r="A56" s="520">
        <f>'W1 Forecast'!F79</f>
        <v>0.2525</v>
      </c>
      <c r="B56" s="19" t="s">
        <v>220</v>
      </c>
      <c r="C56" s="503">
        <f>D56/F13</f>
        <v>6.0600414720638228E-2</v>
      </c>
      <c r="D56" s="461">
        <f>SUM(D51:D54)*A56</f>
        <v>4623.1274645025005</v>
      </c>
      <c r="E56" s="528">
        <f>SUM(E51:E54)*A56</f>
        <v>4434.607</v>
      </c>
      <c r="F56" s="524">
        <f t="shared" si="39"/>
        <v>5.8129269717629259E-2</v>
      </c>
      <c r="G56" s="461">
        <f t="shared" si="40"/>
        <v>-188.52046450250054</v>
      </c>
      <c r="H56" s="520">
        <f>'W1 Forecast'!F79</f>
        <v>0.2525</v>
      </c>
      <c r="I56" s="503">
        <f>J56/L13</f>
        <v>6.4034182461735339E-2</v>
      </c>
      <c r="J56" s="461">
        <f>SUM(J51:J54)*H56</f>
        <v>4059.8420880675008</v>
      </c>
      <c r="K56" s="528">
        <f>SUM(K51:K54)*H56</f>
        <v>3952.6147999999994</v>
      </c>
      <c r="L56" s="524">
        <f t="shared" si="41"/>
        <v>6.2342931526342481E-2</v>
      </c>
      <c r="M56" s="461">
        <f t="shared" si="42"/>
        <v>-107.22728806750138</v>
      </c>
      <c r="N56" s="520">
        <f>'W1 Forecast'!F79</f>
        <v>0.2525</v>
      </c>
      <c r="O56" s="503" t="e">
        <f>P56/R13</f>
        <v>#DIV/0!</v>
      </c>
      <c r="P56" s="461">
        <f>SUM(P51:P54)*N56</f>
        <v>1288.7196000000001</v>
      </c>
      <c r="Q56" s="528">
        <f>SUM(Q51:Q54)*N56</f>
        <v>1288.7196000000001</v>
      </c>
      <c r="R56" s="524" t="e">
        <f t="shared" si="43"/>
        <v>#DIV/0!</v>
      </c>
      <c r="S56" s="461">
        <f t="shared" si="44"/>
        <v>0</v>
      </c>
      <c r="T56" s="520">
        <f>'W1 Forecast'!F79</f>
        <v>0.2525</v>
      </c>
      <c r="U56" s="503" t="e">
        <f>V56/X13</f>
        <v>#DIV/0!</v>
      </c>
      <c r="V56" s="461">
        <f>SUM(V51:V54)*T56</f>
        <v>1288.7196000000001</v>
      </c>
      <c r="W56" s="528">
        <f>SUM(W51:W54)*T56</f>
        <v>1288.7196000000001</v>
      </c>
      <c r="X56" s="524" t="e">
        <f t="shared" si="45"/>
        <v>#DIV/0!</v>
      </c>
      <c r="Y56" s="461">
        <f t="shared" si="46"/>
        <v>0</v>
      </c>
      <c r="Z56" s="520">
        <f>'W1 Forecast'!F79</f>
        <v>0.2525</v>
      </c>
      <c r="AA56" s="503">
        <f>AB56/AD13</f>
        <v>8.0610053874840479E-2</v>
      </c>
      <c r="AB56" s="461">
        <f>SUM(AB51:AB54)*Z56</f>
        <v>11260.408752570002</v>
      </c>
      <c r="AC56" s="528">
        <f>SUM(AC51:AC54)*Z56</f>
        <v>10964.661000000002</v>
      </c>
      <c r="AD56" s="524">
        <f t="shared" si="47"/>
        <v>7.8492880085515152E-2</v>
      </c>
      <c r="AE56" s="461">
        <f t="shared" si="48"/>
        <v>-295.74775256999965</v>
      </c>
    </row>
    <row r="57" spans="1:31" ht="15.75" thickBot="1">
      <c r="A57" s="428"/>
      <c r="B57" s="430" t="s">
        <v>18</v>
      </c>
      <c r="C57" s="462">
        <f>D57/F13</f>
        <v>0.32612644342134645</v>
      </c>
      <c r="D57" s="441">
        <f>SUM(D50:D56)</f>
        <v>24879.765665502502</v>
      </c>
      <c r="E57" s="527">
        <f>SUM(E50:E56)</f>
        <v>23944.629499999999</v>
      </c>
      <c r="F57" s="522">
        <f>E57/F13</f>
        <v>0.31386858553513358</v>
      </c>
      <c r="G57" s="441">
        <f>SUM(G50:G56)</f>
        <v>-935.13616550250117</v>
      </c>
      <c r="H57" s="428"/>
      <c r="I57" s="462">
        <f>J57/L13</f>
        <v>0.34834762694548854</v>
      </c>
      <c r="J57" s="441">
        <f>SUM(J50:J56)</f>
        <v>22085.647115067502</v>
      </c>
      <c r="K57" s="527">
        <f>SUM(K50:K56)</f>
        <v>21553.757299999997</v>
      </c>
      <c r="L57" s="522">
        <f>K57/L13</f>
        <v>0.33995835250358936</v>
      </c>
      <c r="M57" s="441">
        <f>SUM(M50:M56)</f>
        <v>-531.88981506750406</v>
      </c>
      <c r="N57" s="428"/>
      <c r="O57" s="462" t="e">
        <f>P57/R13</f>
        <v>#DIV/0!</v>
      </c>
      <c r="P57" s="441">
        <f>SUM(P50:P56)</f>
        <v>8339.7821000000004</v>
      </c>
      <c r="Q57" s="527">
        <f>SUM(Q50:Q56)</f>
        <v>8339.7821000000004</v>
      </c>
      <c r="R57" s="522" t="e">
        <f>Q57/R13</f>
        <v>#DIV/0!</v>
      </c>
      <c r="S57" s="441">
        <f>SUM(S50:S56)</f>
        <v>0</v>
      </c>
      <c r="T57" s="428"/>
      <c r="U57" s="462" t="e">
        <f>V57/X13</f>
        <v>#DIV/0!</v>
      </c>
      <c r="V57" s="441">
        <f>SUM(V50:V56)</f>
        <v>8339.7821000000004</v>
      </c>
      <c r="W57" s="527">
        <f>SUM(W50:W56)</f>
        <v>8339.7821000000004</v>
      </c>
      <c r="X57" s="522" t="e">
        <f>W57/X13</f>
        <v>#DIV/0!</v>
      </c>
      <c r="Y57" s="441">
        <f>SUM(Y50:Y56)</f>
        <v>0</v>
      </c>
      <c r="AA57" s="462">
        <f>AB57/AD13</f>
        <v>0.45561623347782965</v>
      </c>
      <c r="AB57" s="441">
        <f>SUM(AB50:AB56)</f>
        <v>63644.976980570005</v>
      </c>
      <c r="AC57" s="527">
        <f>SUM(AC50:AC56)</f>
        <v>62177.951000000008</v>
      </c>
      <c r="AD57" s="522">
        <f>AC57/AD13</f>
        <v>0.445114212998107</v>
      </c>
      <c r="AE57" s="441">
        <f>SUM(AE50:AE56)</f>
        <v>-1467.0259805700025</v>
      </c>
    </row>
    <row r="58" spans="1:31" ht="15.75" thickBot="1">
      <c r="C58" s="433"/>
      <c r="D58" s="8"/>
      <c r="E58" s="7"/>
      <c r="F58" s="449"/>
      <c r="G58" s="8"/>
      <c r="I58" s="433"/>
      <c r="J58" s="8"/>
      <c r="K58" s="7"/>
      <c r="L58" s="449"/>
      <c r="M58" s="8"/>
      <c r="O58" s="433"/>
      <c r="P58" s="8"/>
      <c r="Q58" s="7"/>
      <c r="R58" s="449"/>
      <c r="S58" s="8"/>
      <c r="U58" s="433"/>
      <c r="V58" s="8"/>
      <c r="W58" s="7"/>
      <c r="X58" s="449"/>
      <c r="Y58" s="8"/>
      <c r="AA58" s="433"/>
      <c r="AB58" s="8"/>
      <c r="AC58" s="7"/>
      <c r="AD58" s="449"/>
      <c r="AE58" s="8"/>
    </row>
    <row r="59" spans="1:31">
      <c r="B59" s="19" t="s">
        <v>221</v>
      </c>
      <c r="C59" s="437">
        <f>'W1 Forecast'!C82</f>
        <v>8.4099999999999994E-2</v>
      </c>
      <c r="D59" s="509">
        <f>F13*C59</f>
        <v>6415.8805109999985</v>
      </c>
      <c r="E59" s="510">
        <f>D59</f>
        <v>6415.8805109999985</v>
      </c>
      <c r="F59" s="495">
        <f>E59/F13</f>
        <v>8.4099999999999994E-2</v>
      </c>
      <c r="G59" s="540">
        <f>E59-D59</f>
        <v>0</v>
      </c>
      <c r="I59" s="437">
        <f>'W1 Forecast'!C82</f>
        <v>8.4099999999999994E-2</v>
      </c>
      <c r="J59" s="509">
        <f>L13*I59</f>
        <v>5332.0383970000003</v>
      </c>
      <c r="K59" s="510">
        <f>J59</f>
        <v>5332.0383970000003</v>
      </c>
      <c r="L59" s="495">
        <f>K59/L13</f>
        <v>8.4099999999999994E-2</v>
      </c>
      <c r="M59" s="540">
        <f>K59-J59</f>
        <v>0</v>
      </c>
      <c r="O59" s="437">
        <f>'W1 Forecast'!C82</f>
        <v>8.4099999999999994E-2</v>
      </c>
      <c r="P59" s="509">
        <f>R13*O59</f>
        <v>0</v>
      </c>
      <c r="Q59" s="510">
        <f>P59</f>
        <v>0</v>
      </c>
      <c r="R59" s="495" t="e">
        <f>Q59/R13</f>
        <v>#DIV/0!</v>
      </c>
      <c r="S59" s="540">
        <f>Q59-P59</f>
        <v>0</v>
      </c>
      <c r="U59" s="437">
        <f>'W1 Forecast'!C82</f>
        <v>8.4099999999999994E-2</v>
      </c>
      <c r="V59" s="509">
        <f>X13*U59</f>
        <v>0</v>
      </c>
      <c r="W59" s="510">
        <f>V59</f>
        <v>0</v>
      </c>
      <c r="X59" s="495" t="e">
        <f>W59/X13</f>
        <v>#DIV/0!</v>
      </c>
      <c r="Y59" s="540">
        <f>W59-V59</f>
        <v>0</v>
      </c>
      <c r="AA59" s="437">
        <f>'W1 Forecast'!C82</f>
        <v>8.4099999999999994E-2</v>
      </c>
      <c r="AB59" s="509">
        <f>D59+J59+P59+V59</f>
        <v>11747.918908</v>
      </c>
      <c r="AC59" s="510">
        <f>AB59</f>
        <v>11747.918908</v>
      </c>
      <c r="AD59" s="495">
        <f>AC59/AD13</f>
        <v>8.4099999999999994E-2</v>
      </c>
      <c r="AE59" s="540">
        <f>AC59-AB59</f>
        <v>0</v>
      </c>
    </row>
    <row r="60" spans="1:31">
      <c r="B60" s="19" t="s">
        <v>166</v>
      </c>
      <c r="C60" s="436">
        <f>'W1 Forecast'!C83</f>
        <v>1.0999999999999999E-2</v>
      </c>
      <c r="D60" s="432">
        <f>F13*C60</f>
        <v>839.17580999999984</v>
      </c>
      <c r="E60" s="517">
        <f>'Entry Sheet '!E111</f>
        <v>38.29</v>
      </c>
      <c r="F60" s="490">
        <f>E60/F13</f>
        <v>5.019091291489921E-4</v>
      </c>
      <c r="G60" s="484">
        <f t="shared" ref="G60:G61" si="49">E60-D60</f>
        <v>-800.88580999999988</v>
      </c>
      <c r="I60" s="436">
        <f>'W1 Forecast'!C83</f>
        <v>1.0999999999999999E-2</v>
      </c>
      <c r="J60" s="432">
        <f>L13*I60</f>
        <v>697.41287</v>
      </c>
      <c r="K60" s="517">
        <f>'Entry Sheet '!F111</f>
        <v>0</v>
      </c>
      <c r="L60" s="490">
        <f>K60/L13</f>
        <v>0</v>
      </c>
      <c r="M60" s="484">
        <f t="shared" ref="M60:M61" si="50">K60-J60</f>
        <v>-697.41287</v>
      </c>
      <c r="O60" s="436">
        <f>'W1 Forecast'!C83</f>
        <v>1.0999999999999999E-2</v>
      </c>
      <c r="P60" s="432">
        <f>R13*O60</f>
        <v>0</v>
      </c>
      <c r="Q60" s="517">
        <f>'Entry Sheet '!G111</f>
        <v>0</v>
      </c>
      <c r="R60" s="490" t="e">
        <f>Q60/R13</f>
        <v>#DIV/0!</v>
      </c>
      <c r="S60" s="484">
        <f t="shared" ref="S60:S61" si="51">Q60-P60</f>
        <v>0</v>
      </c>
      <c r="U60" s="436">
        <f>'W1 Forecast'!C83</f>
        <v>1.0999999999999999E-2</v>
      </c>
      <c r="V60" s="432">
        <f>X13*U60</f>
        <v>0</v>
      </c>
      <c r="W60" s="517">
        <f>'Entry Sheet '!H111</f>
        <v>0</v>
      </c>
      <c r="X60" s="490" t="e">
        <f>W60/X13</f>
        <v>#DIV/0!</v>
      </c>
      <c r="Y60" s="484">
        <f t="shared" ref="Y60:Y61" si="52">W60-V60</f>
        <v>0</v>
      </c>
      <c r="AA60" s="436">
        <f>'W1 Forecast'!C83</f>
        <v>1.0999999999999999E-2</v>
      </c>
      <c r="AB60" s="432">
        <f>AD13*AA60</f>
        <v>1536.5886800000001</v>
      </c>
      <c r="AC60" s="517">
        <f>E60+K60+Q60+W60</f>
        <v>38.29</v>
      </c>
      <c r="AD60" s="490">
        <f>AC60/AD13</f>
        <v>2.7410718657643632E-4</v>
      </c>
      <c r="AE60" s="484">
        <f t="shared" ref="AE60:AE61" si="53">AC60-AB60</f>
        <v>-1498.2986800000001</v>
      </c>
    </row>
    <row r="61" spans="1:31" ht="15.75" thickBot="1">
      <c r="B61" s="19" t="s">
        <v>222</v>
      </c>
      <c r="C61" s="503">
        <f>D61/F13</f>
        <v>0.11879215155165163</v>
      </c>
      <c r="D61" s="519">
        <f>'W1 Forecast'!D84</f>
        <v>9062.5</v>
      </c>
      <c r="E61" s="529">
        <f>D61</f>
        <v>9062.5</v>
      </c>
      <c r="F61" s="524">
        <f>E61/F13</f>
        <v>0.11879215155165163</v>
      </c>
      <c r="G61" s="461">
        <f t="shared" si="49"/>
        <v>0</v>
      </c>
      <c r="I61" s="503">
        <f>J61/L13</f>
        <v>0.14293900254522116</v>
      </c>
      <c r="J61" s="519">
        <f>'W1 Forecast'!D84</f>
        <v>9062.5</v>
      </c>
      <c r="K61" s="529">
        <f>J61</f>
        <v>9062.5</v>
      </c>
      <c r="L61" s="524">
        <f>K61/L13</f>
        <v>0.14293900254522116</v>
      </c>
      <c r="M61" s="461">
        <f t="shared" si="50"/>
        <v>0</v>
      </c>
      <c r="O61" s="503" t="e">
        <f>P61/R13</f>
        <v>#DIV/0!</v>
      </c>
      <c r="P61" s="519">
        <f>'W1 Forecast'!D84</f>
        <v>9062.5</v>
      </c>
      <c r="Q61" s="529">
        <f>P61</f>
        <v>9062.5</v>
      </c>
      <c r="R61" s="524" t="e">
        <f>Q61/R13</f>
        <v>#DIV/0!</v>
      </c>
      <c r="S61" s="461">
        <f t="shared" si="51"/>
        <v>0</v>
      </c>
      <c r="U61" s="503" t="e">
        <f>V61/X13</f>
        <v>#DIV/0!</v>
      </c>
      <c r="V61" s="519">
        <f>'W1 Forecast'!D84</f>
        <v>9062.5</v>
      </c>
      <c r="W61" s="529">
        <f>V61</f>
        <v>9062.5</v>
      </c>
      <c r="X61" s="524" t="e">
        <f>W61/X13</f>
        <v>#DIV/0!</v>
      </c>
      <c r="Y61" s="461">
        <f t="shared" si="52"/>
        <v>0</v>
      </c>
      <c r="AA61" s="503">
        <f>AB61/AD13</f>
        <v>0.25950340855042614</v>
      </c>
      <c r="AB61" s="519">
        <f>'W1 Forecast'!G85*4</f>
        <v>36250</v>
      </c>
      <c r="AC61" s="529">
        <f>AB61</f>
        <v>36250</v>
      </c>
      <c r="AD61" s="524">
        <f>AC61/AD13</f>
        <v>0.25950340855042614</v>
      </c>
      <c r="AE61" s="461">
        <f t="shared" si="53"/>
        <v>0</v>
      </c>
    </row>
    <row r="62" spans="1:31" ht="15.75" thickBot="1">
      <c r="B62" s="430" t="s">
        <v>224</v>
      </c>
      <c r="C62" s="462">
        <f>D62/F13</f>
        <v>0.21389215155165162</v>
      </c>
      <c r="D62" s="441">
        <f>SUM(D59:D61)</f>
        <v>16317.556320999998</v>
      </c>
      <c r="E62" s="521">
        <f>SUM(E59:E61)</f>
        <v>15516.670510999998</v>
      </c>
      <c r="F62" s="522">
        <f>E62/F13</f>
        <v>0.2033940606808006</v>
      </c>
      <c r="G62" s="441">
        <f>SUM(G59:G61)</f>
        <v>-800.88580999999988</v>
      </c>
      <c r="I62" s="462">
        <f>J62/L13</f>
        <v>0.23803900254522115</v>
      </c>
      <c r="J62" s="441">
        <f>SUM(J59:J61)</f>
        <v>15091.951267</v>
      </c>
      <c r="K62" s="521">
        <f>SUM(K59:K61)</f>
        <v>14394.538397</v>
      </c>
      <c r="L62" s="522">
        <f>K62/L13</f>
        <v>0.22703900254522116</v>
      </c>
      <c r="M62" s="441">
        <f>SUM(M59:M61)</f>
        <v>-697.41287</v>
      </c>
      <c r="O62" s="462" t="e">
        <f>P62/R13</f>
        <v>#DIV/0!</v>
      </c>
      <c r="P62" s="441">
        <f>SUM(P59:P61)</f>
        <v>9062.5</v>
      </c>
      <c r="Q62" s="521">
        <f>SUM(Q59:Q61)</f>
        <v>9062.5</v>
      </c>
      <c r="R62" s="522" t="e">
        <f>Q62/R13</f>
        <v>#DIV/0!</v>
      </c>
      <c r="S62" s="441">
        <f>SUM(S59:S61)</f>
        <v>0</v>
      </c>
      <c r="U62" s="462" t="e">
        <f>V62/X13</f>
        <v>#DIV/0!</v>
      </c>
      <c r="V62" s="441">
        <f>SUM(V59:V61)</f>
        <v>9062.5</v>
      </c>
      <c r="W62" s="521">
        <f>SUM(W59:W61)</f>
        <v>9062.5</v>
      </c>
      <c r="X62" s="522" t="e">
        <f>W62/X13</f>
        <v>#DIV/0!</v>
      </c>
      <c r="Y62" s="441">
        <f>SUM(Y59:Y61)</f>
        <v>0</v>
      </c>
      <c r="AA62" s="462">
        <f>AB62/AD13</f>
        <v>0.3546034085504261</v>
      </c>
      <c r="AB62" s="441">
        <f>SUM(AB59:AB61)</f>
        <v>49534.507588</v>
      </c>
      <c r="AC62" s="521">
        <f>SUM(AC59:AC61)</f>
        <v>48036.208908000001</v>
      </c>
      <c r="AD62" s="522">
        <f>AC62/AD13</f>
        <v>0.34387751573700254</v>
      </c>
      <c r="AE62" s="441">
        <f>SUM(AE59:AE61)</f>
        <v>-1498.2986800000001</v>
      </c>
    </row>
    <row r="63" spans="1:31">
      <c r="C63" s="433"/>
      <c r="D63" s="8"/>
      <c r="E63" s="7"/>
      <c r="F63" s="449"/>
      <c r="G63" s="8"/>
      <c r="I63" s="433"/>
      <c r="J63" s="8"/>
      <c r="K63" s="7"/>
      <c r="L63" s="449"/>
      <c r="M63" s="8"/>
      <c r="O63" s="433"/>
      <c r="P63" s="8"/>
      <c r="Q63" s="7"/>
      <c r="R63" s="449"/>
      <c r="S63" s="8"/>
      <c r="U63" s="433"/>
      <c r="V63" s="8"/>
      <c r="W63" s="7"/>
      <c r="X63" s="449"/>
      <c r="Y63" s="8"/>
      <c r="AA63" s="433"/>
      <c r="AB63" s="8"/>
      <c r="AC63" s="7"/>
      <c r="AD63" s="449"/>
      <c r="AE63" s="8"/>
    </row>
    <row r="64" spans="1:31">
      <c r="C64" s="438" t="s">
        <v>13</v>
      </c>
      <c r="D64" s="439" t="s">
        <v>12</v>
      </c>
      <c r="E64" s="499" t="s">
        <v>229</v>
      </c>
      <c r="F64" s="500" t="s">
        <v>230</v>
      </c>
      <c r="G64" s="439" t="s">
        <v>51</v>
      </c>
      <c r="I64" s="438" t="s">
        <v>13</v>
      </c>
      <c r="J64" s="439" t="s">
        <v>12</v>
      </c>
      <c r="K64" s="499" t="s">
        <v>229</v>
      </c>
      <c r="L64" s="500" t="s">
        <v>230</v>
      </c>
      <c r="M64" s="439" t="s">
        <v>51</v>
      </c>
      <c r="O64" s="438" t="s">
        <v>13</v>
      </c>
      <c r="P64" s="439" t="s">
        <v>12</v>
      </c>
      <c r="Q64" s="499" t="s">
        <v>229</v>
      </c>
      <c r="R64" s="500" t="s">
        <v>230</v>
      </c>
      <c r="S64" s="439" t="s">
        <v>51</v>
      </c>
      <c r="U64" s="438" t="s">
        <v>13</v>
      </c>
      <c r="V64" s="439" t="s">
        <v>12</v>
      </c>
      <c r="W64" s="499" t="s">
        <v>229</v>
      </c>
      <c r="X64" s="500" t="s">
        <v>230</v>
      </c>
      <c r="Y64" s="439" t="s">
        <v>51</v>
      </c>
      <c r="AA64" s="438" t="s">
        <v>13</v>
      </c>
      <c r="AB64" s="439" t="s">
        <v>12</v>
      </c>
      <c r="AC64" s="499" t="s">
        <v>229</v>
      </c>
      <c r="AD64" s="500" t="s">
        <v>230</v>
      </c>
      <c r="AE64" s="439" t="s">
        <v>51</v>
      </c>
    </row>
    <row r="65" spans="2:31" ht="15.75" thickBot="1">
      <c r="B65" s="430" t="s">
        <v>225</v>
      </c>
      <c r="C65" s="435">
        <f>D65/F13</f>
        <v>6.8067114314785099E-2</v>
      </c>
      <c r="D65" s="492">
        <f>F13-D21-D41-D47-D57-D62</f>
        <v>5192.7523444974886</v>
      </c>
      <c r="E65" s="498">
        <f>F13-E21-E41-E47-E57-E62</f>
        <v>6519.8985889999985</v>
      </c>
      <c r="F65" s="491">
        <f>E65/F13</f>
        <v>8.5463479314304813E-2</v>
      </c>
      <c r="G65" s="492">
        <f>E65-D65</f>
        <v>1327.1462445025099</v>
      </c>
      <c r="I65" s="435">
        <f>J65/L13</f>
        <v>1.8570639231618301E-2</v>
      </c>
      <c r="J65" s="492">
        <f>L13-J21-J41-J47-J57-J62</f>
        <v>1177.4002549325014</v>
      </c>
      <c r="K65" s="498">
        <f>L13-K21-K41-K47-K57-K62</f>
        <v>1718.8275030000041</v>
      </c>
      <c r="L65" s="491">
        <f>K65/L13</f>
        <v>2.7110343594605651E-2</v>
      </c>
      <c r="M65" s="492">
        <f>K65-J65</f>
        <v>541.42724806750266</v>
      </c>
      <c r="O65" s="435" t="e">
        <f>P65/R13</f>
        <v>#DIV/0!</v>
      </c>
      <c r="P65" s="492">
        <f>R13-P21-P41-P47-P57-P62</f>
        <v>-17402.2821</v>
      </c>
      <c r="Q65" s="498">
        <f>R13-Q21-Q41-Q47-Q57-Q62</f>
        <v>-56203.672099999996</v>
      </c>
      <c r="R65" s="491" t="e">
        <f>Q65/R13</f>
        <v>#DIV/0!</v>
      </c>
      <c r="S65" s="492">
        <f>Q65-P65</f>
        <v>-38801.39</v>
      </c>
      <c r="U65" s="435" t="e">
        <f>V65/X13</f>
        <v>#DIV/0!</v>
      </c>
      <c r="V65" s="492">
        <f>X13-V21-V41-V47-V57-V62</f>
        <v>-17402.2821</v>
      </c>
      <c r="W65" s="498">
        <f>X13-W21-W41-W47-W57-W62</f>
        <v>-17402.2821</v>
      </c>
      <c r="X65" s="491" t="e">
        <f>W65/X13</f>
        <v>#DIV/0!</v>
      </c>
      <c r="Y65" s="492">
        <f>W65-V65</f>
        <v>0</v>
      </c>
      <c r="AA65" s="435">
        <f>AB65/AD13</f>
        <v>-0.20355384084065348</v>
      </c>
      <c r="AB65" s="492">
        <f>AD13-AB21-AB41-AB47-AB57-AB62</f>
        <v>-28434.411600569983</v>
      </c>
      <c r="AC65" s="498">
        <f>AD13-AC21-AC41-AC47-AC57-AC62</f>
        <v>-65367.228108000018</v>
      </c>
      <c r="AD65" s="491">
        <f>AC65/AD13</f>
        <v>-0.46794533797294419</v>
      </c>
      <c r="AE65" s="492">
        <f>AC65-AB65</f>
        <v>-36932.816507430034</v>
      </c>
    </row>
    <row r="66" spans="2:31">
      <c r="E66" s="36"/>
      <c r="F66" s="449"/>
    </row>
    <row r="67" spans="2:31">
      <c r="B67" s="511"/>
      <c r="C67" t="s">
        <v>232</v>
      </c>
    </row>
    <row r="68" spans="2:31">
      <c r="B68" s="512"/>
      <c r="C68" t="s">
        <v>233</v>
      </c>
    </row>
    <row r="69" spans="2:31">
      <c r="B69" s="513"/>
      <c r="C69" t="s">
        <v>234</v>
      </c>
    </row>
    <row r="70" spans="2:31">
      <c r="B70" s="514"/>
      <c r="C70" t="s">
        <v>234</v>
      </c>
    </row>
    <row r="71" spans="2:31">
      <c r="B71" s="515"/>
      <c r="C71" t="s">
        <v>235</v>
      </c>
    </row>
    <row r="72" spans="2:31">
      <c r="F72" s="449"/>
    </row>
    <row r="73" spans="2:31">
      <c r="F73" s="449"/>
    </row>
    <row r="74" spans="2:31">
      <c r="F74" s="449"/>
    </row>
    <row r="75" spans="2:31">
      <c r="F75" s="449"/>
    </row>
    <row r="76" spans="2:31">
      <c r="F76" s="449"/>
    </row>
    <row r="77" spans="2:31">
      <c r="F77" s="449"/>
    </row>
    <row r="78" spans="2:31">
      <c r="F78" s="449"/>
    </row>
    <row r="79" spans="2:31">
      <c r="F79" s="449"/>
    </row>
    <row r="80" spans="2:31">
      <c r="F80" s="449"/>
    </row>
    <row r="81" spans="6:6">
      <c r="F81" s="449"/>
    </row>
    <row r="82" spans="6:6">
      <c r="F82" s="449"/>
    </row>
    <row r="83" spans="6:6">
      <c r="F83" s="449"/>
    </row>
    <row r="84" spans="6:6">
      <c r="F84" s="449"/>
    </row>
    <row r="85" spans="6:6">
      <c r="F85" s="449"/>
    </row>
    <row r="86" spans="6:6">
      <c r="F86" s="449"/>
    </row>
    <row r="87" spans="6:6">
      <c r="F87" s="449"/>
    </row>
    <row r="88" spans="6:6">
      <c r="F88" s="449"/>
    </row>
    <row r="89" spans="6:6">
      <c r="F89" s="449"/>
    </row>
    <row r="90" spans="6:6">
      <c r="F90" s="449"/>
    </row>
    <row r="91" spans="6:6">
      <c r="F91" s="449"/>
    </row>
    <row r="92" spans="6:6">
      <c r="F92" s="449"/>
    </row>
    <row r="93" spans="6:6">
      <c r="F93" s="449"/>
    </row>
    <row r="94" spans="6:6">
      <c r="F94" s="449"/>
    </row>
    <row r="95" spans="6:6">
      <c r="F95" s="449"/>
    </row>
    <row r="96" spans="6:6">
      <c r="F96" s="449"/>
    </row>
    <row r="97" spans="6:6">
      <c r="F97" s="449"/>
    </row>
    <row r="98" spans="6:6">
      <c r="F98" s="449"/>
    </row>
    <row r="99" spans="6:6">
      <c r="F99" s="449"/>
    </row>
    <row r="100" spans="6:6">
      <c r="F100" s="449"/>
    </row>
    <row r="101" spans="6:6">
      <c r="F101" s="449"/>
    </row>
    <row r="102" spans="6:6">
      <c r="F102" s="449"/>
    </row>
    <row r="103" spans="6:6">
      <c r="F103" s="449"/>
    </row>
    <row r="104" spans="6:6">
      <c r="F104" s="449"/>
    </row>
    <row r="105" spans="6:6">
      <c r="F105" s="449"/>
    </row>
    <row r="106" spans="6:6">
      <c r="F106" s="449"/>
    </row>
    <row r="107" spans="6:6">
      <c r="F107" s="449"/>
    </row>
    <row r="108" spans="6:6">
      <c r="F108" s="449"/>
    </row>
    <row r="109" spans="6:6">
      <c r="F109" s="449"/>
    </row>
    <row r="110" spans="6:6">
      <c r="F110" s="449"/>
    </row>
    <row r="111" spans="6:6">
      <c r="F111" s="449"/>
    </row>
    <row r="112" spans="6:6">
      <c r="F112" s="449"/>
    </row>
    <row r="113" spans="6:6">
      <c r="F113" s="449"/>
    </row>
    <row r="114" spans="6:6">
      <c r="F114" s="449"/>
    </row>
    <row r="115" spans="6:6">
      <c r="F115" s="449"/>
    </row>
    <row r="116" spans="6:6">
      <c r="F116" s="449"/>
    </row>
    <row r="117" spans="6:6">
      <c r="F117" s="449"/>
    </row>
    <row r="118" spans="6:6">
      <c r="F118" s="449"/>
    </row>
    <row r="119" spans="6:6">
      <c r="F119" s="449"/>
    </row>
    <row r="120" spans="6:6">
      <c r="F120" s="449"/>
    </row>
    <row r="121" spans="6:6">
      <c r="F121" s="449"/>
    </row>
    <row r="122" spans="6:6">
      <c r="F122" s="449"/>
    </row>
    <row r="123" spans="6:6">
      <c r="F123" s="449"/>
    </row>
    <row r="124" spans="6:6">
      <c r="F124" s="449"/>
    </row>
    <row r="125" spans="6:6">
      <c r="F125" s="449"/>
    </row>
    <row r="126" spans="6:6">
      <c r="F126" s="449"/>
    </row>
    <row r="127" spans="6:6">
      <c r="F127" s="449"/>
    </row>
    <row r="128" spans="6:6">
      <c r="F128" s="449"/>
    </row>
    <row r="129" spans="6:6">
      <c r="F129" s="449"/>
    </row>
    <row r="130" spans="6:6">
      <c r="F130" s="449"/>
    </row>
    <row r="131" spans="6:6">
      <c r="F131" s="449"/>
    </row>
    <row r="132" spans="6:6">
      <c r="F132" s="449"/>
    </row>
    <row r="133" spans="6:6">
      <c r="F133" s="449"/>
    </row>
    <row r="134" spans="6:6">
      <c r="F134" s="449"/>
    </row>
    <row r="135" spans="6:6">
      <c r="F135" s="449"/>
    </row>
    <row r="136" spans="6:6">
      <c r="F136" s="449"/>
    </row>
    <row r="137" spans="6:6">
      <c r="F137" s="449"/>
    </row>
    <row r="138" spans="6:6">
      <c r="F138" s="449"/>
    </row>
    <row r="139" spans="6:6">
      <c r="F139" s="449"/>
    </row>
    <row r="140" spans="6:6">
      <c r="F140" s="449"/>
    </row>
    <row r="141" spans="6:6">
      <c r="F141" s="449"/>
    </row>
    <row r="142" spans="6:6">
      <c r="F142" s="449"/>
    </row>
    <row r="143" spans="6:6">
      <c r="F143" s="449"/>
    </row>
    <row r="144" spans="6:6">
      <c r="F144" s="449"/>
    </row>
    <row r="145" spans="6:6">
      <c r="F145" s="449"/>
    </row>
    <row r="146" spans="6:6">
      <c r="F146" s="449"/>
    </row>
    <row r="147" spans="6:6">
      <c r="F147" s="449"/>
    </row>
    <row r="148" spans="6:6">
      <c r="F148" s="449"/>
    </row>
    <row r="149" spans="6:6">
      <c r="F149" s="449"/>
    </row>
    <row r="150" spans="6:6">
      <c r="F150" s="449"/>
    </row>
    <row r="151" spans="6:6">
      <c r="F151" s="449"/>
    </row>
    <row r="152" spans="6:6">
      <c r="F152" s="449"/>
    </row>
    <row r="153" spans="6:6">
      <c r="F153" s="449"/>
    </row>
    <row r="154" spans="6:6">
      <c r="F154" s="449"/>
    </row>
    <row r="155" spans="6:6">
      <c r="F155" s="449"/>
    </row>
    <row r="156" spans="6:6">
      <c r="F156" s="449"/>
    </row>
    <row r="157" spans="6:6">
      <c r="F157" s="449"/>
    </row>
    <row r="158" spans="6:6">
      <c r="F158" s="449"/>
    </row>
    <row r="159" spans="6:6">
      <c r="F159" s="449"/>
    </row>
    <row r="160" spans="6:6">
      <c r="F160" s="449"/>
    </row>
    <row r="161" spans="6:6">
      <c r="F161" s="449"/>
    </row>
    <row r="162" spans="6:6">
      <c r="F162" s="449"/>
    </row>
    <row r="163" spans="6:6">
      <c r="F163" s="449"/>
    </row>
    <row r="164" spans="6:6">
      <c r="F164" s="449"/>
    </row>
    <row r="165" spans="6:6">
      <c r="F165" s="449"/>
    </row>
    <row r="166" spans="6:6">
      <c r="F166" s="449"/>
    </row>
    <row r="167" spans="6:6">
      <c r="F167" s="449"/>
    </row>
    <row r="168" spans="6:6">
      <c r="F168" s="449"/>
    </row>
    <row r="169" spans="6:6">
      <c r="F169" s="449"/>
    </row>
    <row r="170" spans="6:6">
      <c r="F170" s="449"/>
    </row>
    <row r="171" spans="6:6">
      <c r="F171" s="449"/>
    </row>
    <row r="172" spans="6:6">
      <c r="F172" s="449"/>
    </row>
  </sheetData>
  <mergeCells count="10">
    <mergeCell ref="U2:V2"/>
    <mergeCell ref="U3:V3"/>
    <mergeCell ref="AA2:AB2"/>
    <mergeCell ref="AA3:AB3"/>
    <mergeCell ref="C2:D2"/>
    <mergeCell ref="C3:D3"/>
    <mergeCell ref="I2:J2"/>
    <mergeCell ref="I3:J3"/>
    <mergeCell ref="O2:P2"/>
    <mergeCell ref="O3:P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88"/>
  <sheetViews>
    <sheetView zoomScaleNormal="100" workbookViewId="0">
      <selection activeCell="F8" sqref="F8"/>
    </sheetView>
  </sheetViews>
  <sheetFormatPr defaultRowHeight="15"/>
  <cols>
    <col min="1" max="1" width="3.85546875" customWidth="1"/>
    <col min="2" max="2" width="17.85546875" style="3" customWidth="1"/>
    <col min="3" max="3" width="11.7109375" customWidth="1"/>
    <col min="4" max="4" width="11.28515625" bestFit="1" customWidth="1"/>
    <col min="5" max="5" width="11.5703125" customWidth="1"/>
    <col min="6" max="8" width="10.5703125" customWidth="1"/>
    <col min="9" max="9" width="13.85546875" customWidth="1"/>
    <col min="10" max="10" width="10.5703125" customWidth="1"/>
    <col min="11" max="11" width="10.5703125" bestFit="1" customWidth="1"/>
    <col min="13" max="13" width="9.140625" customWidth="1"/>
  </cols>
  <sheetData>
    <row r="1" spans="1:15" s="146" customFormat="1" ht="21" customHeight="1" thickBot="1">
      <c r="A1" s="146" t="s">
        <v>19</v>
      </c>
      <c r="B1" s="142"/>
    </row>
    <row r="2" spans="1:15" s="146" customFormat="1" ht="15.75" customHeight="1" thickBot="1">
      <c r="B2" s="142"/>
      <c r="E2" s="142" t="s">
        <v>20</v>
      </c>
      <c r="F2" s="871" t="s">
        <v>283</v>
      </c>
      <c r="G2" s="872"/>
      <c r="I2" s="141"/>
      <c r="J2" s="147"/>
    </row>
    <row r="3" spans="1:15" s="146" customFormat="1" ht="16.5" customHeight="1" thickBot="1">
      <c r="B3" s="142"/>
      <c r="D3" s="140" t="s">
        <v>21</v>
      </c>
      <c r="E3" s="148">
        <v>2</v>
      </c>
      <c r="F3" s="143" t="s">
        <v>87</v>
      </c>
      <c r="G3" s="148">
        <v>1</v>
      </c>
    </row>
    <row r="4" spans="1:15" ht="21" customHeight="1" thickBot="1"/>
    <row r="5" spans="1:15" ht="24" customHeight="1" thickBot="1">
      <c r="A5" s="5"/>
      <c r="B5" s="195"/>
      <c r="C5" s="907" t="s">
        <v>23</v>
      </c>
      <c r="D5" s="907"/>
      <c r="E5" s="907"/>
      <c r="F5" s="907"/>
      <c r="G5" s="907"/>
      <c r="H5" s="907"/>
      <c r="I5" s="907"/>
      <c r="J5" s="16"/>
      <c r="K5" s="6"/>
    </row>
    <row r="6" spans="1:15" ht="15.75" thickBot="1">
      <c r="A6" s="7"/>
      <c r="B6" s="19"/>
      <c r="C6" s="910" t="s">
        <v>19</v>
      </c>
      <c r="D6" s="911"/>
      <c r="E6" s="912"/>
      <c r="F6" s="873">
        <v>2021</v>
      </c>
      <c r="G6" s="874"/>
      <c r="H6" s="874"/>
      <c r="I6" s="875"/>
      <c r="K6" s="8"/>
      <c r="N6" s="35"/>
      <c r="O6" s="34"/>
    </row>
    <row r="7" spans="1:15" ht="15.75" thickBot="1">
      <c r="A7" s="7"/>
      <c r="B7" s="19"/>
      <c r="C7" s="320">
        <v>2014</v>
      </c>
      <c r="D7" s="321">
        <v>2015</v>
      </c>
      <c r="E7" s="322">
        <v>2016</v>
      </c>
      <c r="F7" s="323" t="s">
        <v>91</v>
      </c>
      <c r="G7" s="321" t="s">
        <v>92</v>
      </c>
      <c r="H7" s="321" t="s">
        <v>102</v>
      </c>
      <c r="I7" s="322" t="s">
        <v>2</v>
      </c>
      <c r="K7" s="196" t="s">
        <v>19</v>
      </c>
      <c r="N7" s="36"/>
      <c r="O7" s="34"/>
    </row>
    <row r="8" spans="1:15">
      <c r="A8" s="7"/>
      <c r="B8" s="19" t="s">
        <v>94</v>
      </c>
      <c r="C8" s="636"/>
      <c r="D8" s="222"/>
      <c r="E8" s="223"/>
      <c r="F8" s="221">
        <f>'Sales History &amp; Forecast'!AJ36</f>
        <v>1500</v>
      </c>
      <c r="G8" s="221">
        <f>'Sales History &amp; Forecast'!AK36</f>
        <v>4000</v>
      </c>
      <c r="H8" s="221">
        <f>'Sales History &amp; Forecast'!AL36</f>
        <v>0</v>
      </c>
      <c r="I8" s="223">
        <f>SUM(F8:H8)</f>
        <v>5500</v>
      </c>
      <c r="J8" s="197">
        <f>'Sales History &amp; Forecast'!AN36</f>
        <v>44221</v>
      </c>
      <c r="K8" s="8"/>
      <c r="O8" s="34"/>
    </row>
    <row r="9" spans="1:15" ht="15" customHeight="1">
      <c r="A9" s="7"/>
      <c r="B9" s="19" t="s">
        <v>95</v>
      </c>
      <c r="C9" s="221"/>
      <c r="D9" s="222"/>
      <c r="E9" s="223"/>
      <c r="F9" s="221">
        <f>'Sales History &amp; Forecast'!AJ37</f>
        <v>1700</v>
      </c>
      <c r="G9" s="221">
        <f>'Sales History &amp; Forecast'!AK37</f>
        <v>4000</v>
      </c>
      <c r="H9" s="221">
        <f>'Sales History &amp; Forecast'!AL37</f>
        <v>0</v>
      </c>
      <c r="I9" s="223">
        <f t="shared" ref="I9:I14" si="0">SUM(F9:H9)</f>
        <v>5700</v>
      </c>
      <c r="J9" s="197">
        <f t="shared" ref="J9:J14" si="1">J8+1</f>
        <v>44222</v>
      </c>
      <c r="K9" s="8"/>
    </row>
    <row r="10" spans="1:15" ht="15.75" customHeight="1">
      <c r="A10" s="7"/>
      <c r="B10" s="19" t="s">
        <v>96</v>
      </c>
      <c r="C10" s="221"/>
      <c r="D10" s="222"/>
      <c r="E10" s="223"/>
      <c r="F10" s="221">
        <f>'Sales History &amp; Forecast'!AJ38</f>
        <v>1700</v>
      </c>
      <c r="G10" s="221">
        <f>'Sales History &amp; Forecast'!AK38</f>
        <v>8500</v>
      </c>
      <c r="H10" s="221">
        <f>'Sales History &amp; Forecast'!AL38</f>
        <v>0</v>
      </c>
      <c r="I10" s="223">
        <f t="shared" si="0"/>
        <v>10200</v>
      </c>
      <c r="J10" s="197">
        <f t="shared" si="1"/>
        <v>44223</v>
      </c>
      <c r="K10" s="8"/>
    </row>
    <row r="11" spans="1:15">
      <c r="A11" s="7"/>
      <c r="B11" s="19" t="s">
        <v>97</v>
      </c>
      <c r="C11" s="221"/>
      <c r="D11" s="222"/>
      <c r="E11" s="223"/>
      <c r="F11" s="221">
        <f>'Sales History &amp; Forecast'!AJ39</f>
        <v>1700</v>
      </c>
      <c r="G11" s="221">
        <f>'Sales History &amp; Forecast'!AK39</f>
        <v>5000</v>
      </c>
      <c r="H11" s="221">
        <f>'Sales History &amp; Forecast'!AL39</f>
        <v>0</v>
      </c>
      <c r="I11" s="223">
        <f t="shared" si="0"/>
        <v>6700</v>
      </c>
      <c r="J11" s="197">
        <f t="shared" si="1"/>
        <v>44224</v>
      </c>
      <c r="K11" s="8"/>
    </row>
    <row r="12" spans="1:15">
      <c r="A12" s="7"/>
      <c r="B12" s="19" t="s">
        <v>98</v>
      </c>
      <c r="C12" s="221"/>
      <c r="D12" s="222"/>
      <c r="E12" s="223"/>
      <c r="F12" s="221">
        <f>'Sales History &amp; Forecast'!AJ40</f>
        <v>2500</v>
      </c>
      <c r="G12" s="221">
        <f>'Sales History &amp; Forecast'!AK40</f>
        <v>15000</v>
      </c>
      <c r="H12" s="221">
        <f>'Sales History &amp; Forecast'!AL40</f>
        <v>1800</v>
      </c>
      <c r="I12" s="223">
        <f t="shared" si="0"/>
        <v>19300</v>
      </c>
      <c r="J12" s="197">
        <f t="shared" si="1"/>
        <v>44225</v>
      </c>
      <c r="K12" s="8"/>
    </row>
    <row r="13" spans="1:15">
      <c r="A13" s="7"/>
      <c r="B13" s="19" t="s">
        <v>99</v>
      </c>
      <c r="C13" s="221"/>
      <c r="D13" s="222"/>
      <c r="E13" s="223"/>
      <c r="F13" s="221">
        <f>'Sales History &amp; Forecast'!AJ41</f>
        <v>3000</v>
      </c>
      <c r="G13" s="221">
        <f>'Sales History &amp; Forecast'!AK41</f>
        <v>15500</v>
      </c>
      <c r="H13" s="221">
        <f>'Sales History &amp; Forecast'!AL41</f>
        <v>0</v>
      </c>
      <c r="I13" s="223">
        <f t="shared" si="0"/>
        <v>18500</v>
      </c>
      <c r="J13" s="197">
        <f t="shared" si="1"/>
        <v>44226</v>
      </c>
      <c r="K13" s="8"/>
    </row>
    <row r="14" spans="1:15" ht="15.75" thickBot="1">
      <c r="A14" s="7"/>
      <c r="B14" s="19" t="s">
        <v>100</v>
      </c>
      <c r="C14" s="221"/>
      <c r="D14" s="222"/>
      <c r="E14" s="223"/>
      <c r="F14" s="221">
        <f>'Sales History &amp; Forecast'!AJ42</f>
        <v>5000</v>
      </c>
      <c r="G14" s="221">
        <f>'Sales History &amp; Forecast'!AK42</f>
        <v>3000</v>
      </c>
      <c r="H14" s="221">
        <f>'Sales History &amp; Forecast'!AL42</f>
        <v>0</v>
      </c>
      <c r="I14" s="223">
        <f t="shared" si="0"/>
        <v>8000</v>
      </c>
      <c r="J14" s="197">
        <f t="shared" si="1"/>
        <v>44227</v>
      </c>
      <c r="K14" s="8"/>
    </row>
    <row r="15" spans="1:15" ht="15.75" thickBot="1">
      <c r="A15" s="7"/>
      <c r="B15" s="19" t="s">
        <v>0</v>
      </c>
      <c r="C15" s="198">
        <f>SUM(C8:C14)</f>
        <v>0</v>
      </c>
      <c r="D15" s="199">
        <f t="shared" ref="D15:H15" si="2">SUM(D8:D14)</f>
        <v>0</v>
      </c>
      <c r="E15" s="200">
        <f t="shared" si="2"/>
        <v>0</v>
      </c>
      <c r="F15" s="198">
        <f t="shared" si="2"/>
        <v>17100</v>
      </c>
      <c r="G15" s="199">
        <f t="shared" si="2"/>
        <v>55000</v>
      </c>
      <c r="H15" s="199">
        <f t="shared" si="2"/>
        <v>1800</v>
      </c>
      <c r="I15" s="201">
        <f>SUM(I8:I14)</f>
        <v>73900</v>
      </c>
      <c r="K15" s="8"/>
    </row>
    <row r="16" spans="1:15" ht="15.75" thickBot="1">
      <c r="A16" s="7"/>
      <c r="B16" s="19"/>
      <c r="K16" s="8"/>
    </row>
    <row r="17" spans="1:16" ht="18" customHeight="1" thickBot="1">
      <c r="A17" s="30"/>
      <c r="B17" s="31"/>
      <c r="C17" s="907" t="s">
        <v>22</v>
      </c>
      <c r="D17" s="907"/>
      <c r="E17" s="907"/>
      <c r="F17" s="907"/>
      <c r="G17" s="217"/>
      <c r="H17" s="908" t="s">
        <v>28</v>
      </c>
      <c r="I17" s="907"/>
      <c r="J17" s="909"/>
      <c r="K17" s="905" t="s">
        <v>39</v>
      </c>
      <c r="L17" s="906"/>
      <c r="M17" s="6"/>
    </row>
    <row r="18" spans="1:16" ht="15.75" thickBot="1">
      <c r="A18" s="5"/>
      <c r="B18" s="214"/>
      <c r="C18" s="215" t="s">
        <v>15</v>
      </c>
      <c r="D18" s="215" t="s">
        <v>14</v>
      </c>
      <c r="E18" s="215" t="s">
        <v>13</v>
      </c>
      <c r="F18" s="215" t="s">
        <v>12</v>
      </c>
      <c r="G18" s="6"/>
      <c r="I18" s="17" t="s">
        <v>37</v>
      </c>
      <c r="J18" s="18" t="s">
        <v>38</v>
      </c>
      <c r="K18" s="32" t="s">
        <v>40</v>
      </c>
      <c r="L18" s="33" t="s">
        <v>38</v>
      </c>
      <c r="M18" s="8"/>
    </row>
    <row r="19" spans="1:16" ht="15.75" thickBot="1">
      <c r="A19" s="7"/>
      <c r="B19" s="3" t="s">
        <v>17</v>
      </c>
      <c r="C19" s="255" t="s">
        <v>19</v>
      </c>
      <c r="D19" s="256"/>
      <c r="E19" s="363">
        <f>+F19/$I$15</f>
        <v>3.7732882273342358E-2</v>
      </c>
      <c r="F19" s="401">
        <f>1615.38+1173.08</f>
        <v>2788.46</v>
      </c>
      <c r="G19" s="8"/>
      <c r="I19" s="17"/>
      <c r="J19" s="18"/>
      <c r="K19" s="32"/>
      <c r="L19" s="33"/>
      <c r="M19" s="8"/>
    </row>
    <row r="20" spans="1:16">
      <c r="A20" s="7"/>
      <c r="B20" s="1" t="s">
        <v>3</v>
      </c>
      <c r="C20" s="20">
        <f t="shared" ref="C20:C25" si="3">+F20/D20</f>
        <v>211.14285714285714</v>
      </c>
      <c r="D20" s="21">
        <v>14</v>
      </c>
      <c r="E20" s="22">
        <v>0.04</v>
      </c>
      <c r="F20" s="23">
        <f t="shared" ref="F20:F27" si="4">+E20*$I$15</f>
        <v>2956</v>
      </c>
      <c r="G20" s="8"/>
      <c r="H20" s="216" t="s">
        <v>29</v>
      </c>
      <c r="I20" s="24">
        <f t="shared" ref="I20:I25" si="5">+$I$26*J20</f>
        <v>48138.46</v>
      </c>
      <c r="J20" s="726">
        <v>0.65139999999999998</v>
      </c>
      <c r="K20" s="24">
        <f t="shared" ref="K20:K25" si="6">+I20*L20</f>
        <v>15404.307199999999</v>
      </c>
      <c r="L20" s="25">
        <v>0.32</v>
      </c>
      <c r="M20" s="8"/>
    </row>
    <row r="21" spans="1:16">
      <c r="A21" s="7"/>
      <c r="B21" s="1" t="s">
        <v>168</v>
      </c>
      <c r="C21" s="20">
        <f t="shared" si="3"/>
        <v>57.008571428571429</v>
      </c>
      <c r="D21" s="21">
        <v>17.5</v>
      </c>
      <c r="E21" s="22">
        <v>1.35E-2</v>
      </c>
      <c r="F21" s="23">
        <f t="shared" si="4"/>
        <v>997.65</v>
      </c>
      <c r="G21" s="8"/>
      <c r="H21" s="216" t="s">
        <v>24</v>
      </c>
      <c r="I21" s="26">
        <f t="shared" si="5"/>
        <v>7633.87</v>
      </c>
      <c r="J21" s="727">
        <v>0.1033</v>
      </c>
      <c r="K21" s="26">
        <f t="shared" si="6"/>
        <v>1297.7579000000001</v>
      </c>
      <c r="L21" s="27">
        <v>0.17</v>
      </c>
      <c r="M21" s="8"/>
    </row>
    <row r="22" spans="1:16">
      <c r="A22" s="7"/>
      <c r="B22" s="1" t="s">
        <v>169</v>
      </c>
      <c r="C22" s="20">
        <f t="shared" si="3"/>
        <v>52.494482758620684</v>
      </c>
      <c r="D22" s="21">
        <v>14.5</v>
      </c>
      <c r="E22" s="22">
        <v>1.03E-2</v>
      </c>
      <c r="F22" s="23">
        <f t="shared" si="4"/>
        <v>761.17</v>
      </c>
      <c r="G22" s="8"/>
      <c r="H22" s="216" t="s">
        <v>25</v>
      </c>
      <c r="I22" s="26">
        <f t="shared" si="5"/>
        <v>3584.15</v>
      </c>
      <c r="J22" s="727">
        <v>4.8500000000000001E-2</v>
      </c>
      <c r="K22" s="26">
        <f t="shared" si="6"/>
        <v>680.98850000000004</v>
      </c>
      <c r="L22" s="27">
        <v>0.19</v>
      </c>
      <c r="M22" s="8"/>
    </row>
    <row r="23" spans="1:16" s="2" customFormat="1">
      <c r="A23" s="9"/>
      <c r="B23" s="1" t="s">
        <v>4</v>
      </c>
      <c r="C23" s="20">
        <f t="shared" si="3"/>
        <v>24.633333333333329</v>
      </c>
      <c r="D23" s="21">
        <v>13.5</v>
      </c>
      <c r="E23" s="22">
        <v>4.4999999999999997E-3</v>
      </c>
      <c r="F23" s="23">
        <f t="shared" si="4"/>
        <v>332.54999999999995</v>
      </c>
      <c r="G23" s="11"/>
      <c r="H23" s="216" t="s">
        <v>26</v>
      </c>
      <c r="I23" s="26">
        <f t="shared" si="5"/>
        <v>12444.76</v>
      </c>
      <c r="J23" s="727">
        <v>0.16839999999999999</v>
      </c>
      <c r="K23" s="26">
        <f t="shared" si="6"/>
        <v>2862.2948000000001</v>
      </c>
      <c r="L23" s="27">
        <v>0.23</v>
      </c>
      <c r="M23" s="11"/>
    </row>
    <row r="24" spans="1:16" ht="15.75" customHeight="1">
      <c r="A24" s="7"/>
      <c r="B24" s="1" t="s">
        <v>170</v>
      </c>
      <c r="C24" s="20">
        <f t="shared" si="3"/>
        <v>24.633333333333333</v>
      </c>
      <c r="D24" s="21">
        <v>15</v>
      </c>
      <c r="E24" s="22">
        <v>5.0000000000000001E-3</v>
      </c>
      <c r="F24" s="23">
        <f t="shared" si="4"/>
        <v>369.5</v>
      </c>
      <c r="G24" s="8"/>
      <c r="H24" s="216" t="s">
        <v>27</v>
      </c>
      <c r="I24" s="26">
        <f t="shared" si="5"/>
        <v>2098.7600000000002</v>
      </c>
      <c r="J24" s="727">
        <v>2.8400000000000002E-2</v>
      </c>
      <c r="K24" s="26">
        <f t="shared" si="6"/>
        <v>251.85120000000001</v>
      </c>
      <c r="L24" s="27">
        <v>0.12</v>
      </c>
      <c r="M24" s="8"/>
    </row>
    <row r="25" spans="1:16" ht="15.75" thickBot="1">
      <c r="A25" s="7"/>
      <c r="B25" s="1" t="s">
        <v>5</v>
      </c>
      <c r="C25" s="20">
        <f t="shared" si="3"/>
        <v>92.375</v>
      </c>
      <c r="D25" s="21">
        <v>12</v>
      </c>
      <c r="E25" s="22">
        <v>1.4999999999999999E-2</v>
      </c>
      <c r="F25" s="23">
        <f t="shared" si="4"/>
        <v>1108.5</v>
      </c>
      <c r="G25" s="8"/>
      <c r="H25" s="725" t="s">
        <v>241</v>
      </c>
      <c r="I25" s="469">
        <f t="shared" si="5"/>
        <v>0</v>
      </c>
      <c r="J25" s="728">
        <v>0</v>
      </c>
      <c r="K25" s="469">
        <f t="shared" si="6"/>
        <v>0</v>
      </c>
      <c r="L25" s="470">
        <v>0</v>
      </c>
      <c r="M25" s="8"/>
      <c r="P25" s="840"/>
    </row>
    <row r="26" spans="1:16" ht="15.75" thickBot="1">
      <c r="A26" s="7"/>
      <c r="B26" s="841" t="s">
        <v>162</v>
      </c>
      <c r="C26" s="20"/>
      <c r="D26" s="21"/>
      <c r="E26" s="22"/>
      <c r="F26" s="23">
        <f t="shared" si="4"/>
        <v>0</v>
      </c>
      <c r="G26" s="8"/>
      <c r="H26" s="216" t="s">
        <v>0</v>
      </c>
      <c r="I26" s="467">
        <f>+I15</f>
        <v>73900</v>
      </c>
      <c r="J26" s="468">
        <f>+I26/I26</f>
        <v>1</v>
      </c>
      <c r="K26" s="469">
        <f>SUM(K20:K25)</f>
        <v>20497.1996</v>
      </c>
      <c r="L26" s="470">
        <f>+K26/I26</f>
        <v>0.277364</v>
      </c>
      <c r="M26" s="8"/>
    </row>
    <row r="27" spans="1:16" ht="15.75" thickBot="1">
      <c r="A27" s="7"/>
      <c r="B27" s="1"/>
      <c r="C27" s="257"/>
      <c r="D27" s="258"/>
      <c r="E27" s="259"/>
      <c r="F27" s="260">
        <f t="shared" si="4"/>
        <v>0</v>
      </c>
      <c r="G27" s="8"/>
      <c r="M27" s="8"/>
    </row>
    <row r="28" spans="1:16" ht="15.75" thickBot="1">
      <c r="A28" s="7"/>
      <c r="B28" s="10" t="s">
        <v>6</v>
      </c>
      <c r="C28" s="261">
        <f>SUM(C20:C27)</f>
        <v>462.28757799671592</v>
      </c>
      <c r="D28" s="262">
        <f>+F28/C28</f>
        <v>20.147264264293437</v>
      </c>
      <c r="E28" s="263">
        <f>SUM(E19:E27)</f>
        <v>0.12603288227334236</v>
      </c>
      <c r="F28" s="264">
        <f>SUM(F19:F27)</f>
        <v>9313.83</v>
      </c>
      <c r="G28" s="8"/>
      <c r="H28" s="216" t="s">
        <v>30</v>
      </c>
      <c r="I28" s="24">
        <f t="shared" ref="I28:I35" si="7">+$I$20*J28</f>
        <v>1107.1845799999999</v>
      </c>
      <c r="J28" s="672">
        <v>2.3E-2</v>
      </c>
      <c r="M28" s="8"/>
    </row>
    <row r="29" spans="1:16">
      <c r="A29" s="7"/>
      <c r="B29" s="3" t="s">
        <v>16</v>
      </c>
      <c r="C29" s="255" t="s">
        <v>19</v>
      </c>
      <c r="D29" s="256"/>
      <c r="E29" s="773">
        <f>F29/I15</f>
        <v>3.1331258457374833E-2</v>
      </c>
      <c r="F29" s="401">
        <v>2315.38</v>
      </c>
      <c r="G29" s="8"/>
      <c r="H29" s="216" t="s">
        <v>31</v>
      </c>
      <c r="I29" s="26">
        <f t="shared" si="7"/>
        <v>9627.6920000000009</v>
      </c>
      <c r="J29" s="673">
        <v>0.2</v>
      </c>
      <c r="M29" s="8"/>
    </row>
    <row r="30" spans="1:16">
      <c r="A30" s="7"/>
      <c r="B30" s="1" t="s">
        <v>7</v>
      </c>
      <c r="C30" s="20">
        <f t="shared" ref="C30:C37" si="8">+F30/D30</f>
        <v>376.44984326018812</v>
      </c>
      <c r="D30" s="21">
        <v>6.38</v>
      </c>
      <c r="E30" s="22">
        <v>3.2500000000000001E-2</v>
      </c>
      <c r="F30" s="23">
        <f t="shared" ref="F30:F37" si="9">+E30*$I$15</f>
        <v>2401.75</v>
      </c>
      <c r="G30" s="8"/>
      <c r="H30" s="216" t="s">
        <v>32</v>
      </c>
      <c r="I30" s="26">
        <f t="shared" si="7"/>
        <v>72.207689999999999</v>
      </c>
      <c r="J30" s="673">
        <v>1.5E-3</v>
      </c>
      <c r="M30" s="8"/>
    </row>
    <row r="31" spans="1:16" s="2" customFormat="1" ht="15.75" customHeight="1">
      <c r="A31" s="9"/>
      <c r="B31" s="1" t="s">
        <v>8</v>
      </c>
      <c r="C31" s="20">
        <f t="shared" si="8"/>
        <v>61.583333333333336</v>
      </c>
      <c r="D31" s="21">
        <v>12</v>
      </c>
      <c r="E31" s="22">
        <v>0.01</v>
      </c>
      <c r="F31" s="23">
        <f t="shared" si="9"/>
        <v>739</v>
      </c>
      <c r="G31" s="11"/>
      <c r="H31" s="216" t="s">
        <v>33</v>
      </c>
      <c r="I31" s="26">
        <f t="shared" si="7"/>
        <v>818.35382000000004</v>
      </c>
      <c r="J31" s="673">
        <v>1.7000000000000001E-2</v>
      </c>
      <c r="K31"/>
      <c r="L31"/>
      <c r="M31" s="11"/>
    </row>
    <row r="32" spans="1:16" s="2" customFormat="1">
      <c r="A32" s="9"/>
      <c r="B32" s="1" t="s">
        <v>171</v>
      </c>
      <c r="C32" s="20">
        <f t="shared" si="8"/>
        <v>58.432558139534891</v>
      </c>
      <c r="D32" s="21">
        <v>21.5</v>
      </c>
      <c r="E32" s="22">
        <v>1.7000000000000001E-2</v>
      </c>
      <c r="F32" s="23">
        <f t="shared" si="9"/>
        <v>1256.3000000000002</v>
      </c>
      <c r="G32" s="11"/>
      <c r="H32" s="216" t="s">
        <v>34</v>
      </c>
      <c r="I32" s="26">
        <f t="shared" si="7"/>
        <v>1444.1537999999998</v>
      </c>
      <c r="J32" s="673">
        <v>0.03</v>
      </c>
      <c r="M32" s="11"/>
    </row>
    <row r="33" spans="1:13" s="2" customFormat="1">
      <c r="A33" s="9"/>
      <c r="B33" s="1" t="s">
        <v>162</v>
      </c>
      <c r="C33" s="20">
        <f t="shared" si="8"/>
        <v>0</v>
      </c>
      <c r="D33" s="21">
        <v>18</v>
      </c>
      <c r="E33" s="22"/>
      <c r="F33" s="23">
        <f t="shared" si="9"/>
        <v>0</v>
      </c>
      <c r="G33" s="11"/>
      <c r="H33" s="216"/>
      <c r="I33" s="26"/>
      <c r="J33" s="673"/>
      <c r="M33" s="11"/>
    </row>
    <row r="34" spans="1:13">
      <c r="A34" s="7"/>
      <c r="B34" s="1" t="s">
        <v>9</v>
      </c>
      <c r="C34" s="20">
        <f t="shared" si="8"/>
        <v>79.811999999999998</v>
      </c>
      <c r="D34" s="21">
        <v>10</v>
      </c>
      <c r="E34" s="22">
        <v>1.0800000000000001E-2</v>
      </c>
      <c r="F34" s="23">
        <f t="shared" si="9"/>
        <v>798.12</v>
      </c>
      <c r="G34" s="8"/>
      <c r="H34" s="216" t="s">
        <v>35</v>
      </c>
      <c r="I34" s="26">
        <f t="shared" si="7"/>
        <v>1107.1845799999999</v>
      </c>
      <c r="J34" s="673">
        <v>2.3E-2</v>
      </c>
      <c r="K34" s="2"/>
      <c r="L34" s="2"/>
      <c r="M34" s="8"/>
    </row>
    <row r="35" spans="1:13">
      <c r="A35" s="7"/>
      <c r="B35" s="1" t="s">
        <v>286</v>
      </c>
      <c r="C35" s="20">
        <f t="shared" si="8"/>
        <v>46.1875</v>
      </c>
      <c r="D35" s="21">
        <v>12</v>
      </c>
      <c r="E35" s="22">
        <v>7.4999999999999997E-3</v>
      </c>
      <c r="F35" s="23">
        <f t="shared" si="9"/>
        <v>554.25</v>
      </c>
      <c r="G35" s="8"/>
      <c r="H35" s="216" t="s">
        <v>36</v>
      </c>
      <c r="I35" s="26">
        <f t="shared" si="7"/>
        <v>1925.5383999999999</v>
      </c>
      <c r="J35" s="673">
        <v>0.04</v>
      </c>
      <c r="M35" s="8"/>
    </row>
    <row r="36" spans="1:13" ht="15.75" thickBot="1">
      <c r="A36" s="7"/>
      <c r="B36" s="1" t="s">
        <v>287</v>
      </c>
      <c r="C36" s="20">
        <f t="shared" si="8"/>
        <v>24.633333333333336</v>
      </c>
      <c r="D36" s="21">
        <v>12</v>
      </c>
      <c r="E36" s="22">
        <v>4.0000000000000001E-3</v>
      </c>
      <c r="F36" s="23">
        <f t="shared" si="9"/>
        <v>295.60000000000002</v>
      </c>
      <c r="G36" s="8"/>
      <c r="H36" s="216" t="s">
        <v>0</v>
      </c>
      <c r="I36" s="162">
        <f>SUM(I28:I35)</f>
        <v>16102.314869999998</v>
      </c>
      <c r="J36" s="163">
        <f>SUM(J28:J35)</f>
        <v>0.33449999999999996</v>
      </c>
      <c r="M36" s="8"/>
    </row>
    <row r="37" spans="1:13" ht="15.75" thickBot="1">
      <c r="A37" s="7"/>
      <c r="B37" s="1" t="s">
        <v>288</v>
      </c>
      <c r="C37" s="393">
        <f t="shared" si="8"/>
        <v>17.053846153846155</v>
      </c>
      <c r="D37" s="258">
        <v>13</v>
      </c>
      <c r="E37" s="259">
        <v>3.0000000000000001E-3</v>
      </c>
      <c r="F37" s="394">
        <f t="shared" si="9"/>
        <v>221.70000000000002</v>
      </c>
      <c r="G37" s="8"/>
      <c r="M37" s="8"/>
    </row>
    <row r="38" spans="1:13" ht="15.75" thickBot="1">
      <c r="A38" s="7"/>
      <c r="B38" s="10" t="s">
        <v>11</v>
      </c>
      <c r="C38" s="252">
        <f>SUM(C30:C37)</f>
        <v>664.15241422023576</v>
      </c>
      <c r="D38" s="139">
        <f>+F38/C38</f>
        <v>12.921883315106252</v>
      </c>
      <c r="E38" s="253">
        <f>SUM(E29:E37)</f>
        <v>0.11613125845737485</v>
      </c>
      <c r="F38" s="254">
        <f>SUM(F29:F37)</f>
        <v>8582.1</v>
      </c>
      <c r="G38" s="8"/>
      <c r="M38" s="8"/>
    </row>
    <row r="39" spans="1:13" ht="15.75" customHeight="1" thickBot="1">
      <c r="A39" s="7"/>
      <c r="B39" s="10" t="s">
        <v>18</v>
      </c>
      <c r="C39" s="138">
        <f>+C38+C28</f>
        <v>1126.4399922169516</v>
      </c>
      <c r="D39" s="244">
        <f>+F39/C39</f>
        <v>15.887157881157025</v>
      </c>
      <c r="E39" s="250">
        <f>+E38+E28</f>
        <v>0.24216414073071721</v>
      </c>
      <c r="F39" s="251">
        <f>+F38+F28</f>
        <v>17895.93</v>
      </c>
      <c r="G39" s="8"/>
      <c r="M39" s="8"/>
    </row>
    <row r="40" spans="1:13">
      <c r="A40" s="7"/>
      <c r="G40" s="8"/>
      <c r="H40" s="205" t="s">
        <v>163</v>
      </c>
      <c r="I40" s="206">
        <f>+I15*J40</f>
        <v>768.56</v>
      </c>
      <c r="J40" s="207">
        <v>1.04E-2</v>
      </c>
      <c r="M40" s="8"/>
    </row>
    <row r="41" spans="1:13">
      <c r="A41" s="7"/>
      <c r="E41" s="265"/>
      <c r="F41" s="267"/>
      <c r="G41" s="8"/>
      <c r="H41" s="208" t="s">
        <v>164</v>
      </c>
      <c r="I41" s="209">
        <f>+I15*J41</f>
        <v>554.25</v>
      </c>
      <c r="J41" s="210">
        <v>7.4999999999999997E-3</v>
      </c>
      <c r="M41" s="8"/>
    </row>
    <row r="42" spans="1:13">
      <c r="A42" s="7"/>
      <c r="G42" s="8"/>
      <c r="H42" s="208" t="s">
        <v>165</v>
      </c>
      <c r="I42" s="209">
        <f>+I15*J42</f>
        <v>1027.21</v>
      </c>
      <c r="J42" s="210">
        <v>1.3899999999999999E-2</v>
      </c>
      <c r="M42" s="8"/>
    </row>
    <row r="43" spans="1:13">
      <c r="A43" s="7"/>
      <c r="B43" s="10"/>
      <c r="E43" s="265"/>
      <c r="F43" s="266"/>
      <c r="G43" s="8"/>
      <c r="H43" s="208" t="s">
        <v>166</v>
      </c>
      <c r="I43" s="209">
        <f>+I15*J43</f>
        <v>812.9</v>
      </c>
      <c r="J43" s="210">
        <v>1.0999999999999999E-2</v>
      </c>
      <c r="M43" s="8"/>
    </row>
    <row r="44" spans="1:13" ht="15.75" thickBot="1">
      <c r="A44" s="12"/>
      <c r="B44" s="13"/>
      <c r="C44" s="14"/>
      <c r="D44" s="14"/>
      <c r="E44" s="14"/>
      <c r="F44" s="14"/>
      <c r="G44" s="15"/>
      <c r="H44" s="211" t="s">
        <v>167</v>
      </c>
      <c r="I44" s="212">
        <f>+I15*J44</f>
        <v>184.75</v>
      </c>
      <c r="J44" s="213">
        <v>2.5000000000000001E-3</v>
      </c>
      <c r="K44" s="12"/>
      <c r="L44" s="14"/>
      <c r="M44" s="15"/>
    </row>
    <row r="45" spans="1:13" ht="15.75" thickBot="1"/>
    <row r="46" spans="1:13" ht="15.75" customHeight="1">
      <c r="B46" s="431" t="s">
        <v>201</v>
      </c>
      <c r="C46" s="434" t="s">
        <v>13</v>
      </c>
      <c r="D46" s="429" t="s">
        <v>12</v>
      </c>
      <c r="E46" s="446"/>
      <c r="F46" s="447"/>
      <c r="G46" s="446"/>
      <c r="H46" s="428"/>
      <c r="I46" s="428"/>
    </row>
    <row r="47" spans="1:13">
      <c r="B47" s="653" t="s">
        <v>244</v>
      </c>
      <c r="C47" s="488">
        <v>5.0000000000000001E-4</v>
      </c>
      <c r="D47" s="442">
        <f t="shared" ref="D47:D63" si="10">$I$15*C47</f>
        <v>36.950000000000003</v>
      </c>
      <c r="E47" s="448"/>
      <c r="F47" s="449"/>
      <c r="G47" s="450"/>
      <c r="H47" s="428"/>
      <c r="I47" s="428"/>
    </row>
    <row r="48" spans="1:13">
      <c r="B48" s="653" t="s">
        <v>245</v>
      </c>
      <c r="C48" s="488"/>
      <c r="D48" s="442">
        <f t="shared" si="10"/>
        <v>0</v>
      </c>
      <c r="E48" s="448"/>
      <c r="F48" s="449"/>
      <c r="G48" s="450"/>
      <c r="H48" s="428"/>
      <c r="I48" s="428"/>
    </row>
    <row r="49" spans="1:9">
      <c r="B49" s="653" t="s">
        <v>246</v>
      </c>
      <c r="C49" s="488">
        <v>3.7000000000000002E-3</v>
      </c>
      <c r="D49" s="442">
        <f t="shared" si="10"/>
        <v>273.43</v>
      </c>
      <c r="E49" s="448"/>
      <c r="F49" s="449"/>
      <c r="G49" s="450"/>
      <c r="H49" s="428"/>
      <c r="I49" s="428"/>
    </row>
    <row r="50" spans="1:9">
      <c r="A50" s="3"/>
      <c r="B50" s="653" t="s">
        <v>247</v>
      </c>
      <c r="C50" s="488">
        <v>3.5999999999999999E-3</v>
      </c>
      <c r="D50" s="442">
        <f t="shared" si="10"/>
        <v>266.04000000000002</v>
      </c>
      <c r="E50" s="448"/>
      <c r="F50" s="449"/>
      <c r="G50" s="450"/>
      <c r="H50" s="428"/>
      <c r="I50" s="428"/>
    </row>
    <row r="51" spans="1:9">
      <c r="A51" s="3"/>
      <c r="B51" s="653" t="s">
        <v>248</v>
      </c>
      <c r="C51" s="488">
        <v>4.4000000000000003E-3</v>
      </c>
      <c r="D51" s="442">
        <f t="shared" si="10"/>
        <v>325.16000000000003</v>
      </c>
      <c r="E51" s="448"/>
      <c r="F51" s="449"/>
      <c r="G51" s="450"/>
      <c r="H51" s="428"/>
      <c r="I51" s="428"/>
    </row>
    <row r="52" spans="1:9">
      <c r="A52" s="3"/>
      <c r="B52" s="653" t="s">
        <v>249</v>
      </c>
      <c r="C52" s="488">
        <v>3.5000000000000001E-3</v>
      </c>
      <c r="D52" s="442">
        <f t="shared" si="10"/>
        <v>258.64999999999998</v>
      </c>
      <c r="E52" s="448"/>
      <c r="F52" s="449"/>
      <c r="G52" s="450"/>
    </row>
    <row r="53" spans="1:9">
      <c r="A53" s="3"/>
      <c r="B53" s="653" t="s">
        <v>250</v>
      </c>
      <c r="C53" s="488">
        <v>5.0000000000000001E-4</v>
      </c>
      <c r="D53" s="442">
        <f t="shared" si="10"/>
        <v>36.950000000000003</v>
      </c>
      <c r="E53" s="448"/>
      <c r="F53" s="449"/>
      <c r="G53" s="450"/>
    </row>
    <row r="54" spans="1:9">
      <c r="A54" s="3"/>
      <c r="B54" s="653" t="s">
        <v>251</v>
      </c>
      <c r="C54" s="644">
        <v>5.9999999999999995E-4</v>
      </c>
      <c r="D54" s="442">
        <f t="shared" si="10"/>
        <v>44.339999999999996</v>
      </c>
      <c r="E54" s="448"/>
      <c r="F54" s="449"/>
      <c r="G54" s="450"/>
    </row>
    <row r="55" spans="1:9">
      <c r="A55" s="3"/>
      <c r="B55" s="653" t="s">
        <v>252</v>
      </c>
      <c r="C55" s="644">
        <v>5.0000000000000001E-4</v>
      </c>
      <c r="D55" s="442">
        <f t="shared" si="10"/>
        <v>36.950000000000003</v>
      </c>
      <c r="E55" s="448"/>
      <c r="F55" s="449"/>
      <c r="G55" s="450"/>
    </row>
    <row r="56" spans="1:9">
      <c r="A56" s="3"/>
      <c r="B56" s="653" t="s">
        <v>205</v>
      </c>
      <c r="C56" s="644">
        <v>8.9999999999999998E-4</v>
      </c>
      <c r="D56" s="442">
        <f t="shared" si="10"/>
        <v>66.510000000000005</v>
      </c>
      <c r="E56" s="448"/>
      <c r="F56" s="449"/>
      <c r="G56" s="450"/>
    </row>
    <row r="57" spans="1:9">
      <c r="A57" s="3"/>
      <c r="B57" s="653" t="s">
        <v>253</v>
      </c>
      <c r="C57" s="644">
        <v>1E-3</v>
      </c>
      <c r="D57" s="442">
        <f t="shared" si="10"/>
        <v>73.900000000000006</v>
      </c>
      <c r="E57" s="448"/>
      <c r="F57" s="449"/>
      <c r="G57" s="450"/>
    </row>
    <row r="58" spans="1:9">
      <c r="A58" s="3"/>
      <c r="B58" s="653" t="s">
        <v>254</v>
      </c>
      <c r="C58" s="644">
        <v>5.0000000000000001E-4</v>
      </c>
      <c r="D58" s="442">
        <f t="shared" si="10"/>
        <v>36.950000000000003</v>
      </c>
      <c r="E58" s="448"/>
      <c r="F58" s="449"/>
      <c r="G58" s="450"/>
    </row>
    <row r="59" spans="1:9">
      <c r="A59" s="3"/>
      <c r="B59" s="653" t="s">
        <v>255</v>
      </c>
      <c r="C59" s="644">
        <v>5.0000000000000001E-4</v>
      </c>
      <c r="D59" s="442">
        <f t="shared" si="10"/>
        <v>36.950000000000003</v>
      </c>
      <c r="E59" s="448"/>
      <c r="F59" s="449"/>
      <c r="G59" s="450"/>
    </row>
    <row r="60" spans="1:9">
      <c r="A60" s="3"/>
      <c r="B60" s="653" t="s">
        <v>256</v>
      </c>
      <c r="C60" s="644">
        <v>1E-3</v>
      </c>
      <c r="D60" s="442">
        <f t="shared" si="10"/>
        <v>73.900000000000006</v>
      </c>
      <c r="E60" s="448"/>
      <c r="F60" s="449"/>
      <c r="G60" s="450"/>
    </row>
    <row r="61" spans="1:9">
      <c r="A61" s="3"/>
      <c r="B61" s="653" t="s">
        <v>257</v>
      </c>
      <c r="C61" s="644">
        <v>1.7399999999999999E-2</v>
      </c>
      <c r="D61" s="442">
        <f t="shared" si="10"/>
        <v>1285.8599999999999</v>
      </c>
      <c r="E61" s="448"/>
      <c r="F61" s="449"/>
      <c r="G61" s="450"/>
    </row>
    <row r="62" spans="1:9" ht="15.75" customHeight="1">
      <c r="A62" s="3"/>
      <c r="B62" s="653" t="s">
        <v>258</v>
      </c>
      <c r="C62" s="644">
        <v>3.0000000000000001E-3</v>
      </c>
      <c r="D62" s="442">
        <f t="shared" si="10"/>
        <v>221.70000000000002</v>
      </c>
      <c r="E62" s="448"/>
      <c r="F62" s="449"/>
      <c r="G62" s="450"/>
    </row>
    <row r="63" spans="1:9" ht="15.75" thickBot="1">
      <c r="A63" s="3"/>
      <c r="B63" s="653" t="s">
        <v>259</v>
      </c>
      <c r="C63" s="504">
        <v>5.0000000000000001E-4</v>
      </c>
      <c r="D63" s="464">
        <f t="shared" si="10"/>
        <v>36.950000000000003</v>
      </c>
      <c r="E63" s="448"/>
      <c r="F63" s="449"/>
      <c r="G63" s="450"/>
    </row>
    <row r="64" spans="1:9" ht="15.75" thickBot="1">
      <c r="A64" s="3"/>
      <c r="B64" s="430" t="s">
        <v>0</v>
      </c>
      <c r="C64" s="423">
        <f>D64/I15</f>
        <v>4.2099999999999992E-2</v>
      </c>
      <c r="D64" s="441">
        <f>SUM(D47:D63)</f>
        <v>3111.1899999999996</v>
      </c>
      <c r="E64" s="451"/>
      <c r="F64" s="452"/>
      <c r="G64" s="453"/>
      <c r="H64" s="428"/>
      <c r="I64" s="428"/>
    </row>
    <row r="65" spans="1:9" ht="15.75" thickBot="1">
      <c r="A65" s="3"/>
      <c r="B65"/>
      <c r="C65" s="433"/>
      <c r="D65" s="8"/>
      <c r="E65" s="454"/>
      <c r="F65" s="449"/>
    </row>
    <row r="66" spans="1:9">
      <c r="A66" s="3"/>
      <c r="B66" s="19" t="s">
        <v>210</v>
      </c>
      <c r="C66" s="437">
        <v>1.04E-2</v>
      </c>
      <c r="D66" s="466">
        <f>$I$15*C66</f>
        <v>768.56</v>
      </c>
      <c r="E66" s="454"/>
      <c r="F66" s="449"/>
      <c r="G66" s="450"/>
    </row>
    <row r="67" spans="1:9">
      <c r="A67" s="3"/>
      <c r="B67" s="19" t="s">
        <v>211</v>
      </c>
      <c r="C67" s="436">
        <v>7.4999999999999997E-3</v>
      </c>
      <c r="D67" s="442">
        <f>$I$15*C67</f>
        <v>554.25</v>
      </c>
      <c r="E67" s="454"/>
      <c r="F67" s="449"/>
      <c r="G67" s="450"/>
    </row>
    <row r="68" spans="1:9">
      <c r="A68" s="3"/>
      <c r="B68" s="19" t="s">
        <v>212</v>
      </c>
      <c r="C68" s="436">
        <v>1.3899999999999999E-2</v>
      </c>
      <c r="D68" s="442">
        <f>$I$15*C68</f>
        <v>1027.21</v>
      </c>
      <c r="E68" s="454"/>
      <c r="F68" s="449"/>
      <c r="G68" s="450"/>
    </row>
    <row r="69" spans="1:9" ht="15.75" customHeight="1" thickBot="1">
      <c r="A69" s="3"/>
      <c r="B69" s="19" t="s">
        <v>213</v>
      </c>
      <c r="C69" s="503">
        <v>0.04</v>
      </c>
      <c r="D69" s="464">
        <f>$I$15*C69</f>
        <v>2956</v>
      </c>
      <c r="E69" s="454"/>
      <c r="F69" s="449"/>
      <c r="G69" s="450"/>
    </row>
    <row r="70" spans="1:9" ht="15.75" thickBot="1">
      <c r="A70" s="3"/>
      <c r="B70" s="430" t="s">
        <v>214</v>
      </c>
      <c r="C70" s="423">
        <f>D70/I15</f>
        <v>7.1800000000000003E-2</v>
      </c>
      <c r="D70" s="502">
        <f>SUM(D66:D69)</f>
        <v>5306.02</v>
      </c>
      <c r="E70" s="451"/>
      <c r="F70" s="452"/>
      <c r="G70" s="453"/>
      <c r="H70" s="428"/>
      <c r="I70" s="428"/>
    </row>
    <row r="71" spans="1:9" ht="15.75" thickBot="1">
      <c r="A71" s="3"/>
      <c r="B71"/>
      <c r="C71" s="433"/>
      <c r="D71" s="8"/>
      <c r="F71" s="449"/>
    </row>
    <row r="72" spans="1:9" ht="15.75">
      <c r="A72" s="3"/>
      <c r="B72" s="431" t="s">
        <v>215</v>
      </c>
      <c r="C72" s="434" t="s">
        <v>13</v>
      </c>
      <c r="D72" s="429" t="s">
        <v>12</v>
      </c>
      <c r="E72" s="446"/>
      <c r="F72" s="447"/>
      <c r="G72" s="446"/>
      <c r="H72" s="428"/>
      <c r="I72" s="428"/>
    </row>
    <row r="73" spans="1:9">
      <c r="A73" s="3"/>
      <c r="B73" s="19" t="s">
        <v>216</v>
      </c>
      <c r="C73" s="444">
        <f>D73/I15</f>
        <v>2.6349424898511505E-2</v>
      </c>
      <c r="D73" s="432">
        <f>G73</f>
        <v>1947.2225000000001</v>
      </c>
      <c r="E73" s="454"/>
      <c r="F73" s="424">
        <v>7788.89</v>
      </c>
      <c r="G73" s="426">
        <f>F73/4</f>
        <v>1947.2225000000001</v>
      </c>
    </row>
    <row r="74" spans="1:9">
      <c r="A74" s="3"/>
      <c r="B74" s="19" t="s">
        <v>17</v>
      </c>
      <c r="C74" s="436">
        <f>D74/I15</f>
        <v>3.7732882273342358E-2</v>
      </c>
      <c r="D74" s="442">
        <f>F19</f>
        <v>2788.46</v>
      </c>
      <c r="E74" s="454"/>
      <c r="F74" s="449"/>
      <c r="G74" s="450"/>
    </row>
    <row r="75" spans="1:9">
      <c r="A75" s="3"/>
      <c r="B75" s="19" t="s">
        <v>217</v>
      </c>
      <c r="C75" s="436">
        <f>SUM(E20:E26)</f>
        <v>8.8300000000000003E-2</v>
      </c>
      <c r="D75" s="442">
        <f>I15*C75</f>
        <v>6525.37</v>
      </c>
      <c r="E75" s="454"/>
      <c r="F75" s="449"/>
      <c r="G75" s="450"/>
    </row>
    <row r="76" spans="1:9" ht="15.75" customHeight="1">
      <c r="A76" s="3"/>
      <c r="B76" s="19" t="s">
        <v>16</v>
      </c>
      <c r="C76" s="436">
        <f>D76/I15</f>
        <v>3.1331258457374833E-2</v>
      </c>
      <c r="D76" s="442">
        <f>F29</f>
        <v>2315.38</v>
      </c>
      <c r="E76" s="454"/>
      <c r="F76" s="449"/>
    </row>
    <row r="77" spans="1:9">
      <c r="A77" s="3"/>
      <c r="B77" s="19" t="s">
        <v>218</v>
      </c>
      <c r="C77" s="436">
        <f>SUM(E30:E37)</f>
        <v>8.4800000000000014E-2</v>
      </c>
      <c r="D77" s="442">
        <f>I15*C77</f>
        <v>6266.7200000000012</v>
      </c>
      <c r="E77" s="454"/>
      <c r="F77" s="459"/>
      <c r="G77" s="450"/>
    </row>
    <row r="78" spans="1:9">
      <c r="A78" s="3"/>
      <c r="B78" s="19" t="s">
        <v>219</v>
      </c>
      <c r="C78" s="444">
        <f>D78/I15</f>
        <v>0</v>
      </c>
      <c r="D78" s="445">
        <f>G78</f>
        <v>0</v>
      </c>
      <c r="E78" s="454"/>
      <c r="F78" s="424"/>
      <c r="G78" s="425"/>
    </row>
    <row r="79" spans="1:9" ht="15.75" thickBot="1">
      <c r="A79" s="3"/>
      <c r="B79" s="19" t="s">
        <v>220</v>
      </c>
      <c r="C79" s="460">
        <f>D79/I15</f>
        <v>6.1146445534506086E-2</v>
      </c>
      <c r="D79" s="461">
        <f>SUM(D74:D77)*F79</f>
        <v>4518.7223249999997</v>
      </c>
      <c r="E79" s="455" t="s">
        <v>220</v>
      </c>
      <c r="F79" s="449">
        <v>0.2525</v>
      </c>
      <c r="G79" s="426"/>
      <c r="H79" s="426"/>
    </row>
    <row r="80" spans="1:9" ht="15.75" thickBot="1">
      <c r="A80" s="3"/>
      <c r="B80" s="430" t="s">
        <v>18</v>
      </c>
      <c r="C80" s="423">
        <f>D80/I15</f>
        <v>0.32966001116373478</v>
      </c>
      <c r="D80" s="441">
        <f>SUM(D73:D79)</f>
        <v>24361.874824999999</v>
      </c>
      <c r="E80" s="453"/>
      <c r="F80" s="452"/>
      <c r="G80" s="453"/>
      <c r="H80" s="428"/>
      <c r="I80" s="428"/>
    </row>
    <row r="81" spans="1:9" ht="15.75" thickBot="1">
      <c r="A81" s="3"/>
      <c r="B81"/>
      <c r="C81" s="433"/>
      <c r="D81" s="8"/>
      <c r="F81" s="449"/>
    </row>
    <row r="82" spans="1:9">
      <c r="A82" s="3"/>
      <c r="B82" s="19" t="s">
        <v>221</v>
      </c>
      <c r="C82" s="437">
        <v>8.4099999999999994E-2</v>
      </c>
      <c r="D82" s="443">
        <f>I15*C82</f>
        <v>6214.99</v>
      </c>
      <c r="E82" s="456"/>
      <c r="F82" s="449"/>
      <c r="G82" s="450"/>
    </row>
    <row r="83" spans="1:9" ht="15.75" customHeight="1">
      <c r="A83" s="3"/>
      <c r="B83" s="19" t="s">
        <v>166</v>
      </c>
      <c r="C83" s="436">
        <v>1.0999999999999999E-2</v>
      </c>
      <c r="D83" s="442">
        <f>I15*C83</f>
        <v>812.9</v>
      </c>
      <c r="E83" s="456"/>
      <c r="F83" s="449"/>
      <c r="G83" s="450"/>
    </row>
    <row r="84" spans="1:9" ht="15.75" thickBot="1">
      <c r="A84" s="3"/>
      <c r="B84" s="19" t="s">
        <v>222</v>
      </c>
      <c r="C84" s="460">
        <f>D84/I15</f>
        <v>0.12263193504736129</v>
      </c>
      <c r="D84" s="440">
        <f>G85</f>
        <v>9062.5</v>
      </c>
      <c r="E84" s="456"/>
      <c r="F84" s="449" t="s">
        <v>222</v>
      </c>
      <c r="G84" s="426">
        <v>36250</v>
      </c>
      <c r="H84" t="s">
        <v>223</v>
      </c>
      <c r="I84" t="s">
        <v>223</v>
      </c>
    </row>
    <row r="85" spans="1:9" ht="15.75" thickBot="1">
      <c r="A85" s="3"/>
      <c r="B85" s="430" t="s">
        <v>224</v>
      </c>
      <c r="C85" s="423">
        <f>D85/I15</f>
        <v>0.2177319350473613</v>
      </c>
      <c r="D85" s="441">
        <f>SUM(D82:D84)</f>
        <v>16090.39</v>
      </c>
      <c r="E85" s="451"/>
      <c r="F85" s="452"/>
      <c r="G85" s="427">
        <f>G84/4</f>
        <v>9062.5</v>
      </c>
      <c r="H85" s="428"/>
      <c r="I85" s="428"/>
    </row>
    <row r="86" spans="1:9">
      <c r="A86" s="3"/>
      <c r="B86"/>
      <c r="C86" s="433"/>
      <c r="D86" s="8"/>
      <c r="F86" s="449"/>
    </row>
    <row r="87" spans="1:9">
      <c r="A87" s="3"/>
      <c r="B87"/>
      <c r="C87" s="438" t="s">
        <v>13</v>
      </c>
      <c r="D87" s="439" t="s">
        <v>12</v>
      </c>
      <c r="E87" s="18"/>
      <c r="F87" s="457"/>
      <c r="G87" s="18"/>
    </row>
    <row r="88" spans="1:9" ht="15.75" thickBot="1">
      <c r="A88" s="3"/>
      <c r="B88" s="430" t="s">
        <v>225</v>
      </c>
      <c r="C88" s="435">
        <f>D88/I15</f>
        <v>6.1344053788903861E-2</v>
      </c>
      <c r="D88" s="465">
        <f>I15-G88</f>
        <v>4533.3255749999953</v>
      </c>
      <c r="E88" s="453"/>
      <c r="F88" s="458" t="s">
        <v>193</v>
      </c>
      <c r="G88" s="453">
        <f>D85+D80+D70+D64+K26</f>
        <v>69366.674425000005</v>
      </c>
      <c r="H88" s="428"/>
      <c r="I88" s="428"/>
    </row>
  </sheetData>
  <mergeCells count="7">
    <mergeCell ref="K17:L17"/>
    <mergeCell ref="F2:G2"/>
    <mergeCell ref="C17:F17"/>
    <mergeCell ref="C5:I5"/>
    <mergeCell ref="H17:J17"/>
    <mergeCell ref="F6:I6"/>
    <mergeCell ref="C6:E6"/>
  </mergeCells>
  <phoneticPr fontId="0" type="noConversion"/>
  <pageMargins left="0.25" right="0.14000000000000001" top="0.16" bottom="0.15" header="0.14000000000000001" footer="0.13"/>
  <pageSetup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R150"/>
  <sheetViews>
    <sheetView zoomScale="80" zoomScaleNormal="80" workbookViewId="0">
      <selection activeCell="O19" sqref="O19:O20"/>
    </sheetView>
  </sheetViews>
  <sheetFormatPr defaultColWidth="12.5703125" defaultRowHeight="12.75"/>
  <cols>
    <col min="1" max="1" width="1.7109375" style="38" customWidth="1"/>
    <col min="2" max="3" width="12.5703125" style="38"/>
    <col min="4" max="4" width="10.7109375" style="37" customWidth="1"/>
    <col min="5" max="5" width="14.5703125" style="37" customWidth="1"/>
    <col min="6" max="6" width="12.28515625" style="38" customWidth="1"/>
    <col min="7" max="7" width="11.28515625" style="38" customWidth="1"/>
    <col min="8" max="8" width="10.7109375" style="38" customWidth="1"/>
    <col min="9" max="9" width="12.28515625" style="38" customWidth="1"/>
    <col min="10" max="10" width="11.42578125" style="38" customWidth="1"/>
    <col min="11" max="11" width="10.7109375" style="38" customWidth="1"/>
    <col min="12" max="12" width="11.28515625" style="38" customWidth="1"/>
    <col min="13" max="13" width="10.7109375" style="38" customWidth="1"/>
    <col min="14" max="14" width="11.28515625" style="38" customWidth="1"/>
    <col min="15" max="15" width="12" style="38" customWidth="1"/>
    <col min="16" max="16" width="10.7109375" style="38" customWidth="1"/>
    <col min="17" max="17" width="11" style="38" customWidth="1"/>
    <col min="18" max="16384" width="12.5703125" style="38"/>
  </cols>
  <sheetData>
    <row r="1" spans="2:17">
      <c r="B1" s="38" t="s">
        <v>19</v>
      </c>
      <c r="F1" s="1" t="s">
        <v>19</v>
      </c>
      <c r="G1" s="914" t="s">
        <v>19</v>
      </c>
      <c r="H1" s="914"/>
    </row>
    <row r="2" spans="2:17" ht="13.5" thickBot="1">
      <c r="E2" s="930" t="s">
        <v>41</v>
      </c>
      <c r="F2" s="930"/>
      <c r="G2" s="930"/>
      <c r="H2" s="930"/>
      <c r="I2" s="930"/>
      <c r="J2" s="930"/>
      <c r="K2" s="202"/>
      <c r="L2" s="202"/>
      <c r="M2" s="235" t="s">
        <v>59</v>
      </c>
      <c r="N2" s="236"/>
      <c r="O2" s="235" t="s">
        <v>49</v>
      </c>
      <c r="Q2" s="235" t="s">
        <v>51</v>
      </c>
    </row>
    <row r="3" spans="2:17" ht="13.5" thickBot="1">
      <c r="F3" s="39"/>
      <c r="G3" s="39"/>
      <c r="H3" s="39"/>
      <c r="L3" s="231" t="s">
        <v>175</v>
      </c>
      <c r="M3" s="268">
        <f>+E17*N3</f>
        <v>1235.8771020000001</v>
      </c>
      <c r="N3" s="269">
        <f>'W1 Forecast'!C47+'W1 Forecast'!C49+'W1 Forecast'!C50+'W1 Forecast'!C51+'W1 Forecast'!C52+'W1 Forecast'!C59</f>
        <v>1.6200000000000003E-2</v>
      </c>
      <c r="O3" s="270">
        <f>'Entry Sheet '!E16+'Entry Sheet '!E18+'Entry Sheet '!E19+'Entry Sheet '!E20+'Entry Sheet '!E21+'Entry Sheet '!E28</f>
        <v>849</v>
      </c>
      <c r="P3" s="269">
        <f>+O3/E17</f>
        <v>1.1128776459845764E-2</v>
      </c>
      <c r="Q3" s="271">
        <f>+O3-M3</f>
        <v>-386.87710200000015</v>
      </c>
    </row>
    <row r="4" spans="2:17" ht="15.75" customHeight="1" thickBot="1">
      <c r="D4" s="1" t="s">
        <v>20</v>
      </c>
      <c r="E4" s="901" t="str">
        <f>'W1 Forecast'!F2</f>
        <v>Max Fish</v>
      </c>
      <c r="F4" s="902"/>
      <c r="H4" s="1" t="s">
        <v>42</v>
      </c>
      <c r="I4" s="164">
        <f>H17</f>
        <v>22567.649999999998</v>
      </c>
      <c r="J4" s="165">
        <f>I4/E17</f>
        <v>0.29581900126506266</v>
      </c>
      <c r="L4" s="231" t="s">
        <v>176</v>
      </c>
      <c r="M4" s="272">
        <f>+E17*N4</f>
        <v>1975.8775889999997</v>
      </c>
      <c r="N4" s="273">
        <f>'W1 Forecast'!C48+'W1 Forecast'!C53+'W1 Forecast'!C54+'W1 Forecast'!C55+'W1 Forecast'!C56+'W1 Forecast'!C57+'W1 Forecast'!C58+'W1 Forecast'!C60+'W1 Forecast'!C61+'W1 Forecast'!C62+'W1 Forecast'!C63</f>
        <v>2.5899999999999999E-2</v>
      </c>
      <c r="O4" s="274">
        <f>'Entry Sheet '!E17+'Entry Sheet '!E22+'Entry Sheet '!E23+'Entry Sheet '!E24+'Entry Sheet '!E25+'Entry Sheet '!E26+'Entry Sheet '!E27+'Entry Sheet '!E29+'Entry Sheet '!E30+'Entry Sheet '!E31+'Entry Sheet '!E32</f>
        <v>1899.8429999999998</v>
      </c>
      <c r="P4" s="273">
        <f>+O4/E17</f>
        <v>2.4903331043348353E-2</v>
      </c>
      <c r="Q4" s="275">
        <f>+O4-M4</f>
        <v>-76.034588999999869</v>
      </c>
    </row>
    <row r="5" spans="2:17" ht="15.75" customHeight="1" thickBot="1">
      <c r="D5" s="1" t="s">
        <v>44</v>
      </c>
      <c r="E5" s="903">
        <f>'W1 Forecast'!J14</f>
        <v>44227</v>
      </c>
      <c r="F5" s="904"/>
      <c r="H5" s="1" t="s">
        <v>43</v>
      </c>
      <c r="I5" s="166">
        <f>+I50</f>
        <v>17562.8</v>
      </c>
      <c r="J5" s="167">
        <f>I5/E17</f>
        <v>0.23021492957476933</v>
      </c>
      <c r="L5" s="231" t="s">
        <v>191</v>
      </c>
      <c r="M5" s="276">
        <f>+M4+M3</f>
        <v>3211.7546910000001</v>
      </c>
      <c r="N5" s="277">
        <f>+M5/E17</f>
        <v>4.2100000000000005E-2</v>
      </c>
      <c r="O5" s="278">
        <f>+O4+O3</f>
        <v>2748.8429999999998</v>
      </c>
      <c r="P5" s="277">
        <f>+O5/E17</f>
        <v>3.6032107503194119E-2</v>
      </c>
      <c r="Q5" s="279">
        <f>+O5-M5</f>
        <v>-462.91169100000025</v>
      </c>
    </row>
    <row r="6" spans="2:17" ht="13.5" thickBot="1">
      <c r="D6" s="145">
        <f>'W1 Forecast'!E3</f>
        <v>2</v>
      </c>
      <c r="E6" s="144" t="s">
        <v>87</v>
      </c>
      <c r="F6" s="149">
        <f>'W1 Forecast'!G3</f>
        <v>1</v>
      </c>
      <c r="H6" s="1" t="s">
        <v>45</v>
      </c>
      <c r="I6" s="168">
        <f>+SUM(I4:I5)</f>
        <v>40130.449999999997</v>
      </c>
      <c r="J6" s="169">
        <f>I6/E17</f>
        <v>0.52603393083983196</v>
      </c>
      <c r="L6" s="231" t="s">
        <v>192</v>
      </c>
      <c r="M6" s="280">
        <f>+E17-M5</f>
        <v>73076.955308999997</v>
      </c>
      <c r="N6" s="281"/>
      <c r="O6" s="282"/>
      <c r="P6" s="281"/>
      <c r="Q6" s="282"/>
    </row>
    <row r="7" spans="2:17">
      <c r="H7" s="39"/>
      <c r="I7" s="1"/>
    </row>
    <row r="8" spans="2:17" ht="6.75" customHeight="1" thickBot="1">
      <c r="F8" s="40" t="s">
        <v>19</v>
      </c>
      <c r="G8" s="41" t="s">
        <v>19</v>
      </c>
      <c r="H8" s="41"/>
      <c r="I8" s="42"/>
      <c r="J8" s="43"/>
      <c r="K8" s="44"/>
      <c r="L8" s="37"/>
      <c r="M8" s="37"/>
    </row>
    <row r="9" spans="2:17" s="37" customFormat="1" ht="19.5" customHeight="1" thickBot="1">
      <c r="B9" s="915" t="s">
        <v>82</v>
      </c>
      <c r="C9" s="916"/>
      <c r="D9" s="1"/>
      <c r="E9" s="917" t="s">
        <v>19</v>
      </c>
      <c r="F9" s="918"/>
      <c r="G9" s="919"/>
      <c r="H9" s="920" t="s">
        <v>46</v>
      </c>
      <c r="I9" s="921"/>
      <c r="J9" s="921"/>
      <c r="K9" s="921"/>
      <c r="L9" s="921"/>
      <c r="M9" s="922"/>
      <c r="N9" s="923" t="s">
        <v>1</v>
      </c>
      <c r="O9" s="924"/>
      <c r="P9" s="924"/>
      <c r="Q9" s="925"/>
    </row>
    <row r="10" spans="2:17" s="37" customFormat="1" ht="19.5" customHeight="1" thickBot="1">
      <c r="B10" s="181" t="s">
        <v>83</v>
      </c>
      <c r="C10" s="182" t="s">
        <v>84</v>
      </c>
      <c r="D10" s="1"/>
      <c r="E10" s="183" t="s">
        <v>47</v>
      </c>
      <c r="F10" s="184" t="s">
        <v>48</v>
      </c>
      <c r="G10" s="749" t="s">
        <v>38</v>
      </c>
      <c r="H10" s="736" t="s">
        <v>49</v>
      </c>
      <c r="I10" s="185" t="s">
        <v>38</v>
      </c>
      <c r="J10" s="186" t="s">
        <v>50</v>
      </c>
      <c r="K10" s="187" t="s">
        <v>38</v>
      </c>
      <c r="L10" s="750" t="s">
        <v>51</v>
      </c>
      <c r="M10" s="187" t="s">
        <v>38</v>
      </c>
      <c r="N10" s="183" t="s">
        <v>47</v>
      </c>
      <c r="O10" s="184" t="s">
        <v>51</v>
      </c>
      <c r="P10" s="184" t="s">
        <v>80</v>
      </c>
      <c r="Q10" s="188" t="s">
        <v>51</v>
      </c>
    </row>
    <row r="11" spans="2:17" ht="17.45" customHeight="1" thickBot="1">
      <c r="B11" s="172">
        <f>B26</f>
        <v>4527.8200000000006</v>
      </c>
      <c r="C11" s="175">
        <f>C26</f>
        <v>4693.43</v>
      </c>
      <c r="D11" s="1" t="s">
        <v>29</v>
      </c>
      <c r="E11" s="170">
        <f>'Entry Sheet '!E8</f>
        <v>50781.78</v>
      </c>
      <c r="F11" s="171">
        <f>F26</f>
        <v>17318.29</v>
      </c>
      <c r="G11" s="124">
        <f t="shared" ref="G11:G17" si="0">F11/E11</f>
        <v>0.34103353604383307</v>
      </c>
      <c r="H11" s="45">
        <f>+B11+F11-C11</f>
        <v>17152.68</v>
      </c>
      <c r="I11" s="125">
        <f t="shared" ref="I11:I17" si="1">H11/E11</f>
        <v>0.33777232700389787</v>
      </c>
      <c r="J11" s="45">
        <f>J26</f>
        <v>15171.663760000001</v>
      </c>
      <c r="K11" s="47">
        <f t="shared" ref="K11:K17" si="2">J11/E11</f>
        <v>0.29876195281063406</v>
      </c>
      <c r="L11" s="46">
        <f>H11-J11</f>
        <v>1981.016239999999</v>
      </c>
      <c r="M11" s="47">
        <f t="shared" ref="M11:M17" si="3">L11/E11</f>
        <v>3.9010374193263787E-2</v>
      </c>
      <c r="N11" s="105">
        <f>'W1 Forecast'!I20</f>
        <v>48138.46</v>
      </c>
      <c r="O11" s="106">
        <f t="shared" ref="O11:O16" si="4">+E11-N11</f>
        <v>2643.3199999999997</v>
      </c>
      <c r="P11" s="107">
        <f>'W1 Forecast'!L20*'W1 Cost &amp; Sales'!E11</f>
        <v>16250.169599999999</v>
      </c>
      <c r="Q11" s="108">
        <f t="shared" ref="Q11:Q16" si="5">+H11-P11</f>
        <v>902.51040000000103</v>
      </c>
    </row>
    <row r="12" spans="2:17" ht="17.45" customHeight="1">
      <c r="B12" s="173">
        <f>'[1]W4 Cost &amp; Sales'!$C$12</f>
        <v>14819.19</v>
      </c>
      <c r="C12" s="180">
        <f>'Entry Sheet '!E114</f>
        <v>13825.76</v>
      </c>
      <c r="D12" s="1" t="s">
        <v>24</v>
      </c>
      <c r="E12" s="110">
        <f>'Entry Sheet '!E9</f>
        <v>11482.5</v>
      </c>
      <c r="F12" s="49">
        <f>'Entry Sheet '!E96</f>
        <v>821.02</v>
      </c>
      <c r="G12" s="62">
        <f t="shared" si="0"/>
        <v>7.1501850642281733E-2</v>
      </c>
      <c r="H12" s="48">
        <f>+B12+F12-C12</f>
        <v>1814.4500000000007</v>
      </c>
      <c r="I12" s="51">
        <f t="shared" si="1"/>
        <v>0.15801872414543877</v>
      </c>
      <c r="J12" s="48">
        <f>'Entry Sheet '!E127</f>
        <v>1875.44</v>
      </c>
      <c r="K12" s="50">
        <f t="shared" si="2"/>
        <v>0.16333028521663401</v>
      </c>
      <c r="L12" s="52">
        <f>H12-J12</f>
        <v>-60.989999999999327</v>
      </c>
      <c r="M12" s="50">
        <f t="shared" si="3"/>
        <v>-5.3115610711952383E-3</v>
      </c>
      <c r="N12" s="101">
        <f>'W1 Forecast'!I21</f>
        <v>7633.87</v>
      </c>
      <c r="O12" s="100">
        <f t="shared" si="4"/>
        <v>3848.63</v>
      </c>
      <c r="P12" s="99">
        <f>'W1 Forecast'!L21*'W1 Cost &amp; Sales'!E12</f>
        <v>1952.0250000000001</v>
      </c>
      <c r="Q12" s="102">
        <f t="shared" si="5"/>
        <v>-137.57499999999936</v>
      </c>
    </row>
    <row r="13" spans="2:17" ht="17.45" customHeight="1">
      <c r="B13" s="173">
        <f>'[1]W4 Cost &amp; Sales'!$C$13</f>
        <v>2893.55</v>
      </c>
      <c r="C13" s="177">
        <f>'Entry Sheet '!E115</f>
        <v>2284.71</v>
      </c>
      <c r="D13" s="1" t="s">
        <v>25</v>
      </c>
      <c r="E13" s="110">
        <f>'Entry Sheet '!E10</f>
        <v>2213.2600000000002</v>
      </c>
      <c r="F13" s="49">
        <f>'Entry Sheet '!E97</f>
        <v>0</v>
      </c>
      <c r="G13" s="62">
        <f t="shared" si="0"/>
        <v>0</v>
      </c>
      <c r="H13" s="48">
        <f>+B13+F13-C13</f>
        <v>608.84000000000015</v>
      </c>
      <c r="I13" s="51">
        <f t="shared" si="1"/>
        <v>0.27508742759549265</v>
      </c>
      <c r="J13" s="48">
        <f>'Entry Sheet '!E128</f>
        <v>492.43</v>
      </c>
      <c r="K13" s="50">
        <f t="shared" si="2"/>
        <v>0.22249080541825178</v>
      </c>
      <c r="L13" s="52">
        <f>H13-J13</f>
        <v>116.41000000000014</v>
      </c>
      <c r="M13" s="50">
        <f t="shared" si="3"/>
        <v>5.259662217724087E-2</v>
      </c>
      <c r="N13" s="101">
        <f>'W1 Forecast'!I22</f>
        <v>3584.15</v>
      </c>
      <c r="O13" s="100">
        <f t="shared" si="4"/>
        <v>-1370.8899999999999</v>
      </c>
      <c r="P13" s="99">
        <f>'W1 Forecast'!L22*'W1 Cost &amp; Sales'!E13</f>
        <v>420.51940000000002</v>
      </c>
      <c r="Q13" s="102">
        <f t="shared" si="5"/>
        <v>188.32060000000013</v>
      </c>
    </row>
    <row r="14" spans="2:17" ht="17.45" customHeight="1">
      <c r="B14" s="173">
        <f>'[1]W4 Cost &amp; Sales'!$C$14</f>
        <v>16628.16</v>
      </c>
      <c r="C14" s="177">
        <f>'Entry Sheet '!E116</f>
        <v>16157.19</v>
      </c>
      <c r="D14" s="1" t="s">
        <v>26</v>
      </c>
      <c r="E14" s="110">
        <f>'Entry Sheet '!E11</f>
        <v>10684.52</v>
      </c>
      <c r="F14" s="49">
        <f>'Entry Sheet '!E98</f>
        <v>2268.58</v>
      </c>
      <c r="G14" s="62">
        <f t="shared" si="0"/>
        <v>0.21232399770883481</v>
      </c>
      <c r="H14" s="48">
        <f>+B14+F14-C14</f>
        <v>2739.5499999999975</v>
      </c>
      <c r="I14" s="51">
        <f t="shared" si="1"/>
        <v>0.256403656879298</v>
      </c>
      <c r="J14" s="48">
        <f>'Entry Sheet '!E129</f>
        <v>2231.44</v>
      </c>
      <c r="K14" s="50">
        <f t="shared" si="2"/>
        <v>0.20884794075915436</v>
      </c>
      <c r="L14" s="52">
        <f>H14-J14</f>
        <v>508.1099999999974</v>
      </c>
      <c r="M14" s="50">
        <f t="shared" si="3"/>
        <v>4.7555716120143664E-2</v>
      </c>
      <c r="N14" s="101">
        <f>'W1 Forecast'!I23</f>
        <v>12444.76</v>
      </c>
      <c r="O14" s="100">
        <f t="shared" si="4"/>
        <v>-1760.2399999999998</v>
      </c>
      <c r="P14" s="99">
        <f>'W1 Forecast'!L23*'W1 Cost &amp; Sales'!E14</f>
        <v>2457.4396000000002</v>
      </c>
      <c r="Q14" s="102">
        <f t="shared" si="5"/>
        <v>282.1103999999973</v>
      </c>
    </row>
    <row r="15" spans="2:17" ht="17.45" customHeight="1">
      <c r="B15" s="173">
        <f>'[1]W4 Cost &amp; Sales'!$C$15</f>
        <v>1351.1</v>
      </c>
      <c r="C15" s="178">
        <f>'Entry Sheet '!E117</f>
        <v>1262.33</v>
      </c>
      <c r="D15" s="1" t="s">
        <v>85</v>
      </c>
      <c r="E15" s="110">
        <f>'Entry Sheet '!E12</f>
        <v>1076.6500000000001</v>
      </c>
      <c r="F15" s="49">
        <f>'Entry Sheet '!E99</f>
        <v>163.36000000000001</v>
      </c>
      <c r="G15" s="62">
        <f t="shared" si="0"/>
        <v>0.15172990293967398</v>
      </c>
      <c r="H15" s="48">
        <f>+B15+F15-C15</f>
        <v>252.13000000000011</v>
      </c>
      <c r="I15" s="51">
        <f t="shared" si="1"/>
        <v>0.23418009566711567</v>
      </c>
      <c r="J15" s="48">
        <f>'Entry Sheet '!E130</f>
        <v>179.32</v>
      </c>
      <c r="K15" s="50">
        <f t="shared" si="2"/>
        <v>0.16655366182139039</v>
      </c>
      <c r="L15" s="52">
        <f>H15-J15</f>
        <v>72.810000000000116</v>
      </c>
      <c r="M15" s="50">
        <f t="shared" si="3"/>
        <v>6.7626433845725267E-2</v>
      </c>
      <c r="N15" s="101">
        <f>'W1 Forecast'!I24</f>
        <v>2098.7600000000002</v>
      </c>
      <c r="O15" s="100">
        <f t="shared" si="4"/>
        <v>-1022.1100000000001</v>
      </c>
      <c r="P15" s="99">
        <f>'W1 Forecast'!L24*'W1 Cost &amp; Sales'!E15</f>
        <v>129.19800000000001</v>
      </c>
      <c r="Q15" s="102">
        <f t="shared" si="5"/>
        <v>122.9320000000001</v>
      </c>
    </row>
    <row r="16" spans="2:17" ht="17.45" customHeight="1" thickBot="1">
      <c r="B16" s="741"/>
      <c r="C16" s="741"/>
      <c r="D16" s="1" t="s">
        <v>241</v>
      </c>
      <c r="E16" s="117">
        <f>'Entry Sheet '!E13</f>
        <v>50</v>
      </c>
      <c r="F16" s="731"/>
      <c r="G16" s="747"/>
      <c r="H16" s="732"/>
      <c r="I16" s="733"/>
      <c r="J16" s="732"/>
      <c r="K16" s="735"/>
      <c r="L16" s="734"/>
      <c r="M16" s="735"/>
      <c r="N16" s="737">
        <f>'W1 Forecast'!I25</f>
        <v>0</v>
      </c>
      <c r="O16" s="103">
        <f t="shared" si="4"/>
        <v>50</v>
      </c>
      <c r="P16" s="738">
        <f>'W1 Forecast'!L25*'W1 Cost &amp; Sales'!E16</f>
        <v>0</v>
      </c>
      <c r="Q16" s="104">
        <f t="shared" si="5"/>
        <v>0</v>
      </c>
    </row>
    <row r="17" spans="2:17" s="37" customFormat="1" ht="19.5" customHeight="1" thickBot="1">
      <c r="B17" s="739">
        <f>SUM(B11:B16)</f>
        <v>40219.82</v>
      </c>
      <c r="C17" s="740">
        <f>SUM(C11:C16)</f>
        <v>38223.420000000006</v>
      </c>
      <c r="D17" s="1" t="s">
        <v>0</v>
      </c>
      <c r="E17" s="117">
        <f>SUM(E11:E16)</f>
        <v>76288.709999999992</v>
      </c>
      <c r="F17" s="117">
        <f>SUM(F11:F16)</f>
        <v>20571.25</v>
      </c>
      <c r="G17" s="130">
        <f t="shared" si="0"/>
        <v>0.26964999146007324</v>
      </c>
      <c r="H17" s="117">
        <f>SUM(H11:H16)</f>
        <v>22567.649999999998</v>
      </c>
      <c r="I17" s="119">
        <f t="shared" si="1"/>
        <v>0.29581900126506266</v>
      </c>
      <c r="J17" s="117">
        <f>SUM(J11:J16)</f>
        <v>19950.29376</v>
      </c>
      <c r="K17" s="118">
        <f t="shared" si="2"/>
        <v>0.26151043529245682</v>
      </c>
      <c r="L17" s="117">
        <f>SUM(L11:L16)</f>
        <v>2617.3562399999969</v>
      </c>
      <c r="M17" s="118">
        <f t="shared" si="3"/>
        <v>3.430856597260587E-2</v>
      </c>
      <c r="N17" s="117">
        <f>SUM(N11:N16)</f>
        <v>73900</v>
      </c>
      <c r="O17" s="117">
        <f>SUM(O11:O16)</f>
        <v>2388.7099999999996</v>
      </c>
      <c r="P17" s="117">
        <f>SUM(P11:P16)</f>
        <v>21209.351600000002</v>
      </c>
      <c r="Q17" s="740">
        <f>SUM(Q11:Q16)</f>
        <v>1358.298399999999</v>
      </c>
    </row>
    <row r="18" spans="2:17" ht="15.75" customHeight="1" thickBot="1">
      <c r="B18" s="98"/>
      <c r="C18" s="98"/>
      <c r="D18" s="1"/>
      <c r="E18" s="65"/>
      <c r="F18" s="56"/>
      <c r="G18" s="57"/>
      <c r="H18" s="58"/>
      <c r="I18" s="59"/>
      <c r="J18" s="58"/>
      <c r="K18" s="57"/>
      <c r="L18" s="56"/>
      <c r="M18" s="57"/>
    </row>
    <row r="19" spans="2:17" ht="15.75" customHeight="1">
      <c r="B19" s="180">
        <f>'[1]W4 Cost &amp; Sales'!$C$19</f>
        <v>1586.22</v>
      </c>
      <c r="C19" s="663">
        <f>'Entry Sheet '!E118</f>
        <v>1248.55</v>
      </c>
      <c r="E19" s="1" t="s">
        <v>30</v>
      </c>
      <c r="F19" s="45">
        <f>'Entry Sheet '!E100</f>
        <v>1495.95</v>
      </c>
      <c r="G19" s="60">
        <f>F19/$E$11</f>
        <v>2.9458400237250448E-2</v>
      </c>
      <c r="H19" s="45">
        <f t="shared" ref="H19:H25" si="6">+B19+F19-C19</f>
        <v>1833.6200000000001</v>
      </c>
      <c r="I19" s="125">
        <f>H19/$E$11</f>
        <v>3.6107832376100248E-2</v>
      </c>
      <c r="J19" s="61">
        <f>'Entry Sheet '!E131</f>
        <v>1397.42</v>
      </c>
      <c r="K19" s="47">
        <f>J19/$E$11</f>
        <v>2.7518137410701242E-2</v>
      </c>
      <c r="L19" s="45">
        <f t="shared" ref="L19:L26" si="7">H19-J19</f>
        <v>436.20000000000005</v>
      </c>
      <c r="M19" s="47">
        <f>L19/$E$11</f>
        <v>8.5896949653990091E-3</v>
      </c>
      <c r="O19" s="855" t="s">
        <v>300</v>
      </c>
    </row>
    <row r="20" spans="2:17" ht="15.75" customHeight="1">
      <c r="B20" s="176">
        <f>'[1]W4 Cost &amp; Sales'!$C$20</f>
        <v>2764.34</v>
      </c>
      <c r="C20" s="664">
        <f>'Entry Sheet '!E119</f>
        <v>3209.07</v>
      </c>
      <c r="E20" s="1" t="s">
        <v>31</v>
      </c>
      <c r="F20" s="48">
        <f>'Entry Sheet '!E101</f>
        <v>9535.9599999999991</v>
      </c>
      <c r="G20" s="62">
        <f t="shared" ref="G20:G26" si="8">F20/$E$11</f>
        <v>0.18778309858378339</v>
      </c>
      <c r="H20" s="48">
        <f t="shared" si="6"/>
        <v>9091.23</v>
      </c>
      <c r="I20" s="51">
        <f t="shared" ref="I20:I26" si="9">H20/$E$11</f>
        <v>0.17902542998689688</v>
      </c>
      <c r="J20" s="52">
        <f>'Entry Sheet '!E132</f>
        <v>8849.92</v>
      </c>
      <c r="K20" s="50">
        <f t="shared" ref="K20:K26" si="10">J20/$E$11</f>
        <v>0.17427352881289312</v>
      </c>
      <c r="L20" s="48">
        <f t="shared" si="7"/>
        <v>241.30999999999949</v>
      </c>
      <c r="M20" s="50">
        <f t="shared" ref="M20:M26" si="11">L20/$E$11</f>
        <v>4.751901174003737E-3</v>
      </c>
      <c r="O20" s="854">
        <f>SUM(L19:L21)</f>
        <v>711.15999999999951</v>
      </c>
    </row>
    <row r="21" spans="2:17" ht="15.75" customHeight="1">
      <c r="B21" s="176">
        <f>'[1]W4 Cost &amp; Sales'!$C$21</f>
        <v>177.26</v>
      </c>
      <c r="C21" s="664">
        <f>'Entry Sheet '!E120</f>
        <v>235.81</v>
      </c>
      <c r="E21" s="1" t="s">
        <v>32</v>
      </c>
      <c r="F21" s="48">
        <f>'Entry Sheet '!E102</f>
        <v>344.6</v>
      </c>
      <c r="G21" s="62">
        <f t="shared" si="8"/>
        <v>6.7858984068695513E-3</v>
      </c>
      <c r="H21" s="48">
        <f t="shared" si="6"/>
        <v>286.05</v>
      </c>
      <c r="I21" s="51">
        <f t="shared" si="9"/>
        <v>5.6329258249710823E-3</v>
      </c>
      <c r="J21" s="52">
        <f>'Entry Sheet '!E133</f>
        <v>252.4</v>
      </c>
      <c r="K21" s="50">
        <f t="shared" si="10"/>
        <v>4.9702865870396825E-3</v>
      </c>
      <c r="L21" s="48">
        <f t="shared" si="7"/>
        <v>33.650000000000006</v>
      </c>
      <c r="M21" s="50">
        <f t="shared" si="11"/>
        <v>6.6263923793139997E-4</v>
      </c>
    </row>
    <row r="22" spans="2:17" ht="15.75" customHeight="1">
      <c r="B22" s="176">
        <f>'[2]W4 Cost &amp; Sales'!C22</f>
        <v>0</v>
      </c>
      <c r="C22" s="664">
        <f>'Entry Sheet '!E121</f>
        <v>0</v>
      </c>
      <c r="E22" s="1" t="s">
        <v>33</v>
      </c>
      <c r="F22" s="48">
        <f>'Entry Sheet '!E103</f>
        <v>1189.02</v>
      </c>
      <c r="G22" s="62">
        <f t="shared" si="8"/>
        <v>2.3414303319025054E-2</v>
      </c>
      <c r="H22" s="48">
        <f t="shared" si="6"/>
        <v>1189.02</v>
      </c>
      <c r="I22" s="51">
        <f t="shared" si="9"/>
        <v>2.3414303319025054E-2</v>
      </c>
      <c r="J22" s="826">
        <f>$E$11*K22</f>
        <v>1066.4173800000001</v>
      </c>
      <c r="K22" s="824">
        <v>2.1000000000000001E-2</v>
      </c>
      <c r="L22" s="48">
        <f t="shared" si="7"/>
        <v>122.60261999999989</v>
      </c>
      <c r="M22" s="50">
        <f t="shared" si="11"/>
        <v>2.4143033190250499E-3</v>
      </c>
    </row>
    <row r="23" spans="2:17" ht="15.75" customHeight="1">
      <c r="B23" s="176">
        <f>'[2]W4 Cost &amp; Sales'!C23</f>
        <v>0</v>
      </c>
      <c r="C23" s="664">
        <f>'Entry Sheet '!E122</f>
        <v>0</v>
      </c>
      <c r="E23" s="1" t="s">
        <v>34</v>
      </c>
      <c r="F23" s="48">
        <f>'Entry Sheet '!E104</f>
        <v>2100.79</v>
      </c>
      <c r="G23" s="62">
        <f t="shared" si="8"/>
        <v>4.1368971312151719E-2</v>
      </c>
      <c r="H23" s="48">
        <f t="shared" si="6"/>
        <v>2100.79</v>
      </c>
      <c r="I23" s="51">
        <f t="shared" si="9"/>
        <v>4.1368971312151719E-2</v>
      </c>
      <c r="J23" s="826">
        <f>$E$11*K23</f>
        <v>1472.6716200000001</v>
      </c>
      <c r="K23" s="824">
        <v>2.9000000000000001E-2</v>
      </c>
      <c r="L23" s="48">
        <f t="shared" si="7"/>
        <v>628.11837999999989</v>
      </c>
      <c r="M23" s="50">
        <f t="shared" si="11"/>
        <v>1.2368971312151719E-2</v>
      </c>
    </row>
    <row r="24" spans="2:17" ht="15.75" customHeight="1">
      <c r="B24" s="176">
        <f>'[2]W4 Cost &amp; Sales'!C24</f>
        <v>0</v>
      </c>
      <c r="C24" s="664">
        <f>'Entry Sheet '!E123</f>
        <v>0</v>
      </c>
      <c r="E24" s="1" t="s">
        <v>35</v>
      </c>
      <c r="F24" s="48">
        <f>'Entry Sheet '!E105</f>
        <v>353.28</v>
      </c>
      <c r="G24" s="62">
        <f t="shared" si="8"/>
        <v>6.9568258536821664E-3</v>
      </c>
      <c r="H24" s="48">
        <f t="shared" si="6"/>
        <v>353.28</v>
      </c>
      <c r="I24" s="51">
        <f t="shared" si="9"/>
        <v>6.9568258536821664E-3</v>
      </c>
      <c r="J24" s="826">
        <f>$E$11*K24</f>
        <v>1015.6356</v>
      </c>
      <c r="K24" s="824">
        <v>0.02</v>
      </c>
      <c r="L24" s="48">
        <f t="shared" si="7"/>
        <v>-662.35559999999998</v>
      </c>
      <c r="M24" s="50">
        <f t="shared" si="11"/>
        <v>-1.3043174146317832E-2</v>
      </c>
    </row>
    <row r="25" spans="2:17" ht="15.75" customHeight="1" thickBot="1">
      <c r="B25" s="836">
        <f>'[2]W4 Cost &amp; Sales'!C25</f>
        <v>0</v>
      </c>
      <c r="C25" s="808">
        <f>'Entry Sheet '!E124</f>
        <v>0</v>
      </c>
      <c r="E25" s="1" t="s">
        <v>52</v>
      </c>
      <c r="F25" s="53">
        <f>'Entry Sheet '!E106</f>
        <v>2298.6899999999996</v>
      </c>
      <c r="G25" s="63">
        <f t="shared" si="8"/>
        <v>4.5266038331070707E-2</v>
      </c>
      <c r="H25" s="53">
        <f t="shared" si="6"/>
        <v>2298.6899999999996</v>
      </c>
      <c r="I25" s="126">
        <f t="shared" si="9"/>
        <v>4.5266038331070707E-2</v>
      </c>
      <c r="J25" s="826">
        <f>$E$11*K25</f>
        <v>1117.1991599999999</v>
      </c>
      <c r="K25" s="825">
        <v>2.1999999999999999E-2</v>
      </c>
      <c r="L25" s="53">
        <f t="shared" si="7"/>
        <v>1181.4908399999997</v>
      </c>
      <c r="M25" s="55">
        <f t="shared" si="11"/>
        <v>2.3266038331070705E-2</v>
      </c>
      <c r="O25" s="64"/>
    </row>
    <row r="26" spans="2:17" s="37" customFormat="1" ht="15.75" customHeight="1" thickBot="1">
      <c r="B26" s="190">
        <f>SUM(B19:B25)</f>
        <v>4527.8200000000006</v>
      </c>
      <c r="C26" s="807">
        <f>SUM(C19:C25)</f>
        <v>4693.43</v>
      </c>
      <c r="E26" s="1" t="s">
        <v>0</v>
      </c>
      <c r="F26" s="112">
        <f>SUM(F19:F25)</f>
        <v>17318.29</v>
      </c>
      <c r="G26" s="116">
        <f t="shared" si="8"/>
        <v>0.34103353604383307</v>
      </c>
      <c r="H26" s="117">
        <f>SUM(H19:H25)</f>
        <v>17152.68</v>
      </c>
      <c r="I26" s="119">
        <f t="shared" si="9"/>
        <v>0.33777232700389787</v>
      </c>
      <c r="J26" s="120">
        <f>SUM(J19:J25)</f>
        <v>15171.663760000001</v>
      </c>
      <c r="K26" s="116">
        <f t="shared" si="10"/>
        <v>0.29876195281063406</v>
      </c>
      <c r="L26" s="112">
        <f t="shared" si="7"/>
        <v>1981.016239999999</v>
      </c>
      <c r="M26" s="121">
        <f t="shared" si="11"/>
        <v>3.9010374193263787E-2</v>
      </c>
    </row>
    <row r="27" spans="2:17" ht="15.75" customHeight="1" thickBot="1">
      <c r="E27" s="1"/>
      <c r="F27" s="56"/>
      <c r="G27" s="57"/>
      <c r="H27" s="56"/>
      <c r="I27" s="59"/>
      <c r="J27" s="56"/>
      <c r="K27" s="57"/>
      <c r="L27" s="56"/>
      <c r="M27" s="57"/>
    </row>
    <row r="28" spans="2:17" ht="15.75" customHeight="1" thickBot="1">
      <c r="D28" s="1"/>
      <c r="E28" s="65"/>
      <c r="F28" s="931" t="s">
        <v>59</v>
      </c>
      <c r="G28" s="932"/>
      <c r="H28" s="932"/>
      <c r="I28" s="933" t="s">
        <v>81</v>
      </c>
      <c r="J28" s="934"/>
      <c r="K28" s="934"/>
      <c r="L28" s="934"/>
      <c r="M28" s="934"/>
      <c r="N28" s="935"/>
      <c r="O28" s="936" t="s">
        <v>51</v>
      </c>
      <c r="P28" s="937"/>
    </row>
    <row r="29" spans="2:17" ht="44.25" customHeight="1" thickBot="1">
      <c r="B29" s="913" t="s">
        <v>292</v>
      </c>
      <c r="C29" s="913"/>
      <c r="D29" s="913"/>
      <c r="E29" s="1"/>
      <c r="F29" s="241" t="s">
        <v>40</v>
      </c>
      <c r="G29" s="193" t="s">
        <v>15</v>
      </c>
      <c r="H29" s="242" t="s">
        <v>38</v>
      </c>
      <c r="I29" s="243" t="s">
        <v>56</v>
      </c>
      <c r="J29" s="191" t="s">
        <v>53</v>
      </c>
      <c r="K29" s="191" t="s">
        <v>54</v>
      </c>
      <c r="L29" s="191" t="s">
        <v>55</v>
      </c>
      <c r="M29" s="191" t="s">
        <v>57</v>
      </c>
      <c r="N29" s="192" t="s">
        <v>58</v>
      </c>
      <c r="O29" s="380" t="s">
        <v>60</v>
      </c>
      <c r="P29" s="381" t="s">
        <v>61</v>
      </c>
    </row>
    <row r="30" spans="2:17" ht="16.149999999999999" customHeight="1">
      <c r="B30" s="842" t="s">
        <v>293</v>
      </c>
      <c r="C30" s="843"/>
      <c r="D30" s="844">
        <f>+C30/$E$17</f>
        <v>0</v>
      </c>
      <c r="E30" s="1" t="s">
        <v>17</v>
      </c>
      <c r="F30" s="403">
        <f>H30*E17</f>
        <v>2878.5929132151555</v>
      </c>
      <c r="G30" s="237"/>
      <c r="H30" s="404">
        <f>'W1 Forecast'!E19</f>
        <v>3.7732882273342358E-2</v>
      </c>
      <c r="I30" s="405">
        <f>'W1 Forecast'!F19</f>
        <v>2788.46</v>
      </c>
      <c r="J30" s="238"/>
      <c r="K30" s="238"/>
      <c r="L30" s="238"/>
      <c r="M30" s="406">
        <f>+I30/E17</f>
        <v>3.6551411080355145E-2</v>
      </c>
      <c r="N30" s="239"/>
      <c r="O30" s="407">
        <f t="shared" ref="O30:O48" si="12">+I30-F30</f>
        <v>-90.13291321515544</v>
      </c>
      <c r="P30" s="240"/>
    </row>
    <row r="31" spans="2:17" ht="15.6" customHeight="1">
      <c r="B31" s="845" t="s">
        <v>294</v>
      </c>
      <c r="C31" s="846"/>
      <c r="D31" s="847">
        <f t="shared" ref="D31:D37" si="13">+C31/$E$17</f>
        <v>0</v>
      </c>
      <c r="E31" s="1" t="s">
        <v>3</v>
      </c>
      <c r="F31" s="324">
        <f>H31*E17</f>
        <v>3051.5483999999997</v>
      </c>
      <c r="G31" s="325">
        <f t="shared" ref="G31:G36" si="14">F31/N31</f>
        <v>201.68086541320264</v>
      </c>
      <c r="H31" s="326">
        <f>+'W1 Forecast'!E20</f>
        <v>0.04</v>
      </c>
      <c r="I31" s="219">
        <f>'Entry Sheet '!E39+'Entry Sheet '!E41</f>
        <v>4359.12</v>
      </c>
      <c r="J31" s="218">
        <f>'Entry Sheet '!E38</f>
        <v>281.2</v>
      </c>
      <c r="K31" s="218">
        <f>'Entry Sheet '!E40</f>
        <v>6.9</v>
      </c>
      <c r="L31" s="325">
        <f>+K31+J31</f>
        <v>288.09999999999997</v>
      </c>
      <c r="M31" s="330">
        <f t="shared" ref="M31:M38" si="15">+I31/$E$17</f>
        <v>5.7139778612064623E-2</v>
      </c>
      <c r="N31" s="390">
        <f>+I31/L31</f>
        <v>15.130579659840334</v>
      </c>
      <c r="O31" s="334">
        <f t="shared" si="12"/>
        <v>1307.5716000000002</v>
      </c>
      <c r="P31" s="332">
        <f>+L31-G31</f>
        <v>86.419134586797327</v>
      </c>
    </row>
    <row r="32" spans="2:17" ht="15.75" customHeight="1">
      <c r="B32" s="845" t="s">
        <v>295</v>
      </c>
      <c r="C32" s="846"/>
      <c r="D32" s="847">
        <f t="shared" si="13"/>
        <v>0</v>
      </c>
      <c r="E32" s="1" t="s">
        <v>168</v>
      </c>
      <c r="F32" s="324">
        <f>H32*E17</f>
        <v>1029.8975849999999</v>
      </c>
      <c r="G32" s="325">
        <f t="shared" si="14"/>
        <v>48.089406273547091</v>
      </c>
      <c r="H32" s="326">
        <f>+'W1 Forecast'!E21</f>
        <v>1.35E-2</v>
      </c>
      <c r="I32" s="219">
        <f>'Entry Sheet '!E59+'Entry Sheet '!E61</f>
        <v>998</v>
      </c>
      <c r="J32" s="218">
        <f>'Entry Sheet '!E58</f>
        <v>40</v>
      </c>
      <c r="K32" s="218">
        <f>'Entry Sheet '!E60</f>
        <v>6.6</v>
      </c>
      <c r="L32" s="325">
        <f>+K32+J32</f>
        <v>46.6</v>
      </c>
      <c r="M32" s="330">
        <f t="shared" si="15"/>
        <v>1.3081883282598435E-2</v>
      </c>
      <c r="N32" s="332">
        <f t="shared" ref="N32:N39" si="16">+I32/L32</f>
        <v>21.416309012875537</v>
      </c>
      <c r="O32" s="334">
        <f t="shared" si="12"/>
        <v>-31.897584999999935</v>
      </c>
      <c r="P32" s="332">
        <f t="shared" ref="P32:P39" si="17">+L32-G32</f>
        <v>-1.4894062735470897</v>
      </c>
    </row>
    <row r="33" spans="2:16" ht="15.75" customHeight="1">
      <c r="B33" s="845" t="s">
        <v>296</v>
      </c>
      <c r="C33" s="846"/>
      <c r="D33" s="847">
        <f t="shared" si="13"/>
        <v>0</v>
      </c>
      <c r="E33" s="1" t="s">
        <v>169</v>
      </c>
      <c r="F33" s="324">
        <f>H33*E17</f>
        <v>785.77371299999993</v>
      </c>
      <c r="G33" s="325">
        <f t="shared" si="14"/>
        <v>51.831162464270605</v>
      </c>
      <c r="H33" s="326">
        <f>+'W1 Forecast'!E22</f>
        <v>1.03E-2</v>
      </c>
      <c r="I33" s="219">
        <f>'Entry Sheet '!E55+'Entry Sheet '!E57</f>
        <v>236.5</v>
      </c>
      <c r="J33" s="218">
        <f>'Entry Sheet '!E54</f>
        <v>15.6</v>
      </c>
      <c r="K33" s="218">
        <f>'Entry Sheet '!E56</f>
        <v>0</v>
      </c>
      <c r="L33" s="325">
        <f>+K33+J33</f>
        <v>15.6</v>
      </c>
      <c r="M33" s="330">
        <f t="shared" si="15"/>
        <v>3.1000655273893088E-3</v>
      </c>
      <c r="N33" s="332">
        <f t="shared" si="16"/>
        <v>15.160256410256411</v>
      </c>
      <c r="O33" s="334">
        <f t="shared" si="12"/>
        <v>-549.27371299999993</v>
      </c>
      <c r="P33" s="332">
        <f t="shared" si="17"/>
        <v>-36.231162464270604</v>
      </c>
    </row>
    <row r="34" spans="2:16" ht="15.75" customHeight="1">
      <c r="B34" s="845" t="s">
        <v>297</v>
      </c>
      <c r="C34" s="846"/>
      <c r="D34" s="847">
        <f t="shared" si="13"/>
        <v>0</v>
      </c>
      <c r="E34" s="1" t="s">
        <v>4</v>
      </c>
      <c r="F34" s="324">
        <f>H34*E17</f>
        <v>343.29919499999994</v>
      </c>
      <c r="G34" s="325">
        <f t="shared" si="14"/>
        <v>25.955651229502315</v>
      </c>
      <c r="H34" s="326">
        <f>+'W1 Forecast'!E23</f>
        <v>4.4999999999999997E-3</v>
      </c>
      <c r="I34" s="219">
        <f>'Entry Sheet '!E51+'Entry Sheet '!E53</f>
        <v>697.03</v>
      </c>
      <c r="J34" s="218">
        <f>'Entry Sheet '!E50</f>
        <v>52.7</v>
      </c>
      <c r="K34" s="218">
        <f>'Entry Sheet '!E52</f>
        <v>0</v>
      </c>
      <c r="L34" s="325">
        <f t="shared" ref="L34:L47" si="18">+K34+J34</f>
        <v>52.7</v>
      </c>
      <c r="M34" s="330">
        <f t="shared" si="15"/>
        <v>9.1367385816328531E-3</v>
      </c>
      <c r="N34" s="332">
        <f t="shared" si="16"/>
        <v>13.226375711574951</v>
      </c>
      <c r="O34" s="334">
        <f t="shared" si="12"/>
        <v>353.73080500000003</v>
      </c>
      <c r="P34" s="332">
        <f t="shared" si="17"/>
        <v>26.744348770497687</v>
      </c>
    </row>
    <row r="35" spans="2:16" ht="15.75" customHeight="1">
      <c r="B35" s="845" t="s">
        <v>298</v>
      </c>
      <c r="C35" s="846"/>
      <c r="D35" s="847">
        <f t="shared" si="13"/>
        <v>0</v>
      </c>
      <c r="E35" s="1" t="s">
        <v>170</v>
      </c>
      <c r="F35" s="324">
        <f>H35*E17</f>
        <v>381.44354999999996</v>
      </c>
      <c r="G35" s="325" t="e">
        <f t="shared" si="14"/>
        <v>#DIV/0!</v>
      </c>
      <c r="H35" s="326">
        <f>+'W1 Forecast'!E24</f>
        <v>5.0000000000000001E-3</v>
      </c>
      <c r="I35" s="219">
        <f>'Entry Sheet '!E47+'Entry Sheet '!E49</f>
        <v>0</v>
      </c>
      <c r="J35" s="218">
        <f>'Entry Sheet '!E46</f>
        <v>0</v>
      </c>
      <c r="K35" s="218">
        <f>'Entry Sheet '!E48</f>
        <v>0</v>
      </c>
      <c r="L35" s="325">
        <f>+K35+J35</f>
        <v>0</v>
      </c>
      <c r="M35" s="330">
        <f t="shared" si="15"/>
        <v>0</v>
      </c>
      <c r="N35" s="332" t="e">
        <f t="shared" si="16"/>
        <v>#DIV/0!</v>
      </c>
      <c r="O35" s="334">
        <f t="shared" si="12"/>
        <v>-381.44354999999996</v>
      </c>
      <c r="P35" s="332" t="e">
        <f t="shared" si="17"/>
        <v>#DIV/0!</v>
      </c>
    </row>
    <row r="36" spans="2:16" ht="15.75" customHeight="1" thickBot="1">
      <c r="B36" s="848" t="s">
        <v>299</v>
      </c>
      <c r="C36" s="849"/>
      <c r="D36" s="850">
        <f t="shared" si="13"/>
        <v>0</v>
      </c>
      <c r="E36" s="1" t="s">
        <v>5</v>
      </c>
      <c r="F36" s="324">
        <f>H36*E17</f>
        <v>1144.3306499999999</v>
      </c>
      <c r="G36" s="325">
        <f t="shared" si="14"/>
        <v>95.403194903504854</v>
      </c>
      <c r="H36" s="326">
        <f>+'W1 Forecast'!E25</f>
        <v>1.4999999999999999E-2</v>
      </c>
      <c r="I36" s="219">
        <f>'Entry Sheet '!E35+'Entry Sheet '!E37</f>
        <v>1081.92</v>
      </c>
      <c r="J36" s="218">
        <f>'Entry Sheet '!E34</f>
        <v>90.2</v>
      </c>
      <c r="K36" s="218">
        <f>'Entry Sheet '!E36</f>
        <v>0</v>
      </c>
      <c r="L36" s="325">
        <f t="shared" si="18"/>
        <v>90.2</v>
      </c>
      <c r="M36" s="330">
        <f t="shared" si="15"/>
        <v>1.4181914991091083E-2</v>
      </c>
      <c r="N36" s="332">
        <f t="shared" si="16"/>
        <v>11.994678492239469</v>
      </c>
      <c r="O36" s="334">
        <f t="shared" si="12"/>
        <v>-62.410649999999805</v>
      </c>
      <c r="P36" s="332">
        <f t="shared" si="17"/>
        <v>-5.2031949035048513</v>
      </c>
    </row>
    <row r="37" spans="2:16" ht="15.75" customHeight="1" thickBot="1">
      <c r="B37" s="851" t="s">
        <v>0</v>
      </c>
      <c r="C37" s="852">
        <f>16932+11553</f>
        <v>28485</v>
      </c>
      <c r="D37" s="853">
        <f t="shared" si="13"/>
        <v>0.37338421373228098</v>
      </c>
      <c r="E37" s="1" t="s">
        <v>162</v>
      </c>
      <c r="F37" s="324">
        <f>H37*E17</f>
        <v>0</v>
      </c>
      <c r="G37" s="325"/>
      <c r="H37" s="326">
        <f>+'W1 Forecast'!E26</f>
        <v>0</v>
      </c>
      <c r="I37" s="324">
        <f>'Entry Sheet '!E43+'Entry Sheet '!E45</f>
        <v>0</v>
      </c>
      <c r="J37" s="325">
        <f>'Entry Sheet '!E42</f>
        <v>0</v>
      </c>
      <c r="K37" s="325">
        <f>'Entry Sheet '!E44</f>
        <v>0</v>
      </c>
      <c r="L37" s="325">
        <f>+K37+J37</f>
        <v>0</v>
      </c>
      <c r="M37" s="330">
        <f t="shared" si="15"/>
        <v>0</v>
      </c>
      <c r="N37" s="332" t="e">
        <f t="shared" si="16"/>
        <v>#DIV/0!</v>
      </c>
      <c r="O37" s="334">
        <f t="shared" si="12"/>
        <v>0</v>
      </c>
      <c r="P37" s="332">
        <f t="shared" si="17"/>
        <v>0</v>
      </c>
    </row>
    <row r="38" spans="2:16" ht="15.75" customHeight="1" thickBot="1">
      <c r="D38" s="1"/>
      <c r="E38" s="1"/>
      <c r="F38" s="327">
        <f>H38*E17</f>
        <v>0</v>
      </c>
      <c r="G38" s="328">
        <v>0</v>
      </c>
      <c r="H38" s="329">
        <f>+'W1 Forecast'!E27</f>
        <v>0</v>
      </c>
      <c r="I38" s="327"/>
      <c r="J38" s="328"/>
      <c r="K38" s="328"/>
      <c r="L38" s="328">
        <f>+K38+J38</f>
        <v>0</v>
      </c>
      <c r="M38" s="331">
        <f t="shared" si="15"/>
        <v>0</v>
      </c>
      <c r="N38" s="333" t="e">
        <f t="shared" si="16"/>
        <v>#DIV/0!</v>
      </c>
      <c r="O38" s="335">
        <f t="shared" si="12"/>
        <v>0</v>
      </c>
      <c r="P38" s="333">
        <f t="shared" si="17"/>
        <v>0</v>
      </c>
    </row>
    <row r="39" spans="2:16" s="248" customFormat="1" ht="15.75" customHeight="1" thickBot="1">
      <c r="D39" s="247"/>
      <c r="E39" s="140" t="s">
        <v>6</v>
      </c>
      <c r="F39" s="336">
        <f>SUM(F30:F38)</f>
        <v>9614.8860062151543</v>
      </c>
      <c r="G39" s="337" t="e">
        <f>SUM(G31:G38)</f>
        <v>#DIV/0!</v>
      </c>
      <c r="H39" s="338">
        <f>'W1 Forecast'!E28</f>
        <v>0.12603288227334236</v>
      </c>
      <c r="I39" s="339">
        <f>SUM(I30:I38)</f>
        <v>10161.030000000001</v>
      </c>
      <c r="J39" s="337">
        <f>SUM(J31:J38)</f>
        <v>479.7</v>
      </c>
      <c r="K39" s="337">
        <f>SUM(K31:K38)</f>
        <v>13.5</v>
      </c>
      <c r="L39" s="337">
        <f>SUM(L31:L38)</f>
        <v>493.2</v>
      </c>
      <c r="M39" s="340">
        <f>+I39/E17</f>
        <v>0.13319179207513146</v>
      </c>
      <c r="N39" s="341">
        <f t="shared" si="16"/>
        <v>20.602250608272509</v>
      </c>
      <c r="O39" s="342">
        <f t="shared" si="12"/>
        <v>546.14399378484632</v>
      </c>
      <c r="P39" s="392" t="e">
        <f t="shared" si="17"/>
        <v>#DIV/0!</v>
      </c>
    </row>
    <row r="40" spans="2:16" ht="15.75" customHeight="1">
      <c r="D40" s="1"/>
      <c r="E40" s="10" t="s">
        <v>16</v>
      </c>
      <c r="F40" s="408">
        <f>H40*E17</f>
        <v>2390.2212903897157</v>
      </c>
      <c r="G40" s="245"/>
      <c r="H40" s="409">
        <f>+'W1 Forecast'!E29</f>
        <v>3.1331258457374833E-2</v>
      </c>
      <c r="I40" s="410">
        <f>'W1 Forecast'!F29</f>
        <v>2315.38</v>
      </c>
      <c r="J40" s="245"/>
      <c r="K40" s="245"/>
      <c r="L40" s="245"/>
      <c r="M40" s="411">
        <f>+I40/E17</f>
        <v>3.0350231377618005E-2</v>
      </c>
      <c r="N40" s="246"/>
      <c r="O40" s="412">
        <f t="shared" si="12"/>
        <v>-74.841290389715596</v>
      </c>
      <c r="P40" s="246"/>
    </row>
    <row r="41" spans="2:16" ht="15.75" customHeight="1">
      <c r="D41" s="1"/>
      <c r="E41" s="1" t="s">
        <v>7</v>
      </c>
      <c r="F41" s="324">
        <f>H41*E17</f>
        <v>2479.3830749999997</v>
      </c>
      <c r="G41" s="325">
        <f t="shared" ref="G41:G47" si="19">F41/N41</f>
        <v>376.17111856005954</v>
      </c>
      <c r="H41" s="326">
        <f>+'W1 Forecast'!E30</f>
        <v>3.2500000000000001E-2</v>
      </c>
      <c r="I41" s="219">
        <f>'Entry Sheet '!E83+'Entry Sheet '!E85+'Entry Sheet '!E91+'Entry Sheet '!E93</f>
        <v>1718.96</v>
      </c>
      <c r="J41" s="218">
        <f>'Entry Sheet '!E82+'Entry Sheet '!E90</f>
        <v>260.8</v>
      </c>
      <c r="K41" s="218">
        <f>'Entry Sheet '!E84+'Entry Sheet '!E92</f>
        <v>0</v>
      </c>
      <c r="L41" s="325">
        <f t="shared" si="18"/>
        <v>260.8</v>
      </c>
      <c r="M41" s="330">
        <f t="shared" ref="M41:M48" si="20">+I41/$E$17</f>
        <v>2.2532298684825057E-2</v>
      </c>
      <c r="N41" s="332">
        <f t="shared" ref="N41:N49" si="21">+I41/L41</f>
        <v>6.5911042944785274</v>
      </c>
      <c r="O41" s="334">
        <f t="shared" si="12"/>
        <v>-760.4230749999997</v>
      </c>
      <c r="P41" s="332">
        <f>+L41-G41</f>
        <v>-115.37111856005953</v>
      </c>
    </row>
    <row r="42" spans="2:16" ht="15.75" customHeight="1">
      <c r="D42" s="1"/>
      <c r="E42" s="1" t="s">
        <v>8</v>
      </c>
      <c r="F42" s="324">
        <f>H42*E17</f>
        <v>762.88709999999992</v>
      </c>
      <c r="G42" s="325">
        <f t="shared" si="19"/>
        <v>58.65444176261331</v>
      </c>
      <c r="H42" s="326">
        <f>+'W1 Forecast'!E31</f>
        <v>0.01</v>
      </c>
      <c r="I42" s="219">
        <f>'Entry Sheet '!E75+'Entry Sheet '!E77</f>
        <v>784.29</v>
      </c>
      <c r="J42" s="218">
        <f>'Entry Sheet '!E74</f>
        <v>60.3</v>
      </c>
      <c r="K42" s="218">
        <f>'Entry Sheet '!E76</f>
        <v>0</v>
      </c>
      <c r="L42" s="325">
        <f t="shared" si="18"/>
        <v>60.3</v>
      </c>
      <c r="M42" s="330">
        <f t="shared" si="20"/>
        <v>1.0280551342393914E-2</v>
      </c>
      <c r="N42" s="332">
        <f t="shared" si="21"/>
        <v>13.006467661691543</v>
      </c>
      <c r="O42" s="334">
        <f t="shared" si="12"/>
        <v>21.402900000000045</v>
      </c>
      <c r="P42" s="332">
        <f t="shared" ref="P42:P49" si="22">+L42-G42</f>
        <v>1.6455582373866875</v>
      </c>
    </row>
    <row r="43" spans="2:16" ht="15.75" customHeight="1">
      <c r="D43" s="1"/>
      <c r="E43" s="1" t="s">
        <v>172</v>
      </c>
      <c r="F43" s="324">
        <f>H43*E17</f>
        <v>1296.90807</v>
      </c>
      <c r="G43" s="325">
        <f t="shared" si="19"/>
        <v>60.348344523895925</v>
      </c>
      <c r="H43" s="326">
        <f>+'W1 Forecast'!E32</f>
        <v>1.7000000000000001E-2</v>
      </c>
      <c r="I43" s="219">
        <f>'Entry Sheet '!E87+'Entry Sheet '!E89</f>
        <v>468.49</v>
      </c>
      <c r="J43" s="218">
        <f>'Entry Sheet '!E86</f>
        <v>21.8</v>
      </c>
      <c r="K43" s="218">
        <f>'Entry Sheet '!E88</f>
        <v>0</v>
      </c>
      <c r="L43" s="325">
        <f>+K43+J43</f>
        <v>21.8</v>
      </c>
      <c r="M43" s="330">
        <f t="shared" si="20"/>
        <v>6.141013526116775E-3</v>
      </c>
      <c r="N43" s="332">
        <f t="shared" si="21"/>
        <v>21.490366972477062</v>
      </c>
      <c r="O43" s="334">
        <f t="shared" si="12"/>
        <v>-828.41806999999994</v>
      </c>
      <c r="P43" s="332">
        <f t="shared" si="22"/>
        <v>-38.548344523895921</v>
      </c>
    </row>
    <row r="44" spans="2:16" ht="15.75" customHeight="1">
      <c r="D44" s="1"/>
      <c r="E44" s="1" t="s">
        <v>162</v>
      </c>
      <c r="F44" s="324">
        <f>H44*E17</f>
        <v>0</v>
      </c>
      <c r="G44" s="325" t="e">
        <f t="shared" si="19"/>
        <v>#DIV/0!</v>
      </c>
      <c r="H44" s="326"/>
      <c r="I44" s="219">
        <f>'Entry Sheet '!E43+'Entry Sheet '!E45</f>
        <v>0</v>
      </c>
      <c r="J44" s="218">
        <f>'Entry Sheet '!E42</f>
        <v>0</v>
      </c>
      <c r="K44" s="218">
        <f>'Entry Sheet '!E44</f>
        <v>0</v>
      </c>
      <c r="L44" s="325">
        <f>+K44+J44</f>
        <v>0</v>
      </c>
      <c r="M44" s="330">
        <f t="shared" ref="M44" si="23">+I44/$E$17</f>
        <v>0</v>
      </c>
      <c r="N44" s="332" t="e">
        <f t="shared" ref="N44" si="24">+I44/L44</f>
        <v>#DIV/0!</v>
      </c>
      <c r="O44" s="334">
        <f t="shared" ref="O44" si="25">+I44-F44</f>
        <v>0</v>
      </c>
      <c r="P44" s="332" t="e">
        <f t="shared" ref="P44" si="26">+L44-G44</f>
        <v>#DIV/0!</v>
      </c>
    </row>
    <row r="45" spans="2:16" ht="15.75" customHeight="1">
      <c r="D45" s="1"/>
      <c r="E45" s="1" t="s">
        <v>9</v>
      </c>
      <c r="F45" s="324">
        <f>H45*E17</f>
        <v>823.91806799999995</v>
      </c>
      <c r="G45" s="325">
        <f t="shared" si="19"/>
        <v>75.281853928933998</v>
      </c>
      <c r="H45" s="326">
        <f>+'W1 Forecast'!E34</f>
        <v>1.0800000000000001E-2</v>
      </c>
      <c r="I45" s="219">
        <f>'Entry Sheet '!E63+'Entry Sheet '!E65</f>
        <v>1250.95</v>
      </c>
      <c r="J45" s="218">
        <f>'Entry Sheet '!E62</f>
        <v>114.3</v>
      </c>
      <c r="K45" s="218">
        <f>'Entry Sheet '!E64</f>
        <v>0</v>
      </c>
      <c r="L45" s="325">
        <f t="shared" si="18"/>
        <v>114.3</v>
      </c>
      <c r="M45" s="330">
        <f t="shared" si="20"/>
        <v>1.6397577046459434E-2</v>
      </c>
      <c r="N45" s="332">
        <f t="shared" si="21"/>
        <v>10.944444444444445</v>
      </c>
      <c r="O45" s="334">
        <f t="shared" si="12"/>
        <v>427.0319320000001</v>
      </c>
      <c r="P45" s="332">
        <f t="shared" si="22"/>
        <v>39.018146071065999</v>
      </c>
    </row>
    <row r="46" spans="2:16" ht="15.75" customHeight="1">
      <c r="D46" s="1"/>
      <c r="E46" s="1" t="str">
        <f>'W1 Forecast'!B35</f>
        <v>Busser 2:</v>
      </c>
      <c r="F46" s="324">
        <f>H46*E17</f>
        <v>572.16532499999994</v>
      </c>
      <c r="G46" s="325" t="e">
        <f t="shared" si="19"/>
        <v>#DIV/0!</v>
      </c>
      <c r="H46" s="326">
        <f>+'W1 Forecast'!E35</f>
        <v>7.4999999999999997E-3</v>
      </c>
      <c r="I46" s="219">
        <f>'Entry Sheet '!E67+'Entry Sheet '!E69</f>
        <v>0</v>
      </c>
      <c r="J46" s="218">
        <f>'Entry Sheet '!E66</f>
        <v>0</v>
      </c>
      <c r="K46" s="218">
        <f>'Entry Sheet '!E68</f>
        <v>0</v>
      </c>
      <c r="L46" s="325">
        <f t="shared" si="18"/>
        <v>0</v>
      </c>
      <c r="M46" s="330">
        <f t="shared" si="20"/>
        <v>0</v>
      </c>
      <c r="N46" s="332" t="e">
        <f t="shared" si="21"/>
        <v>#DIV/0!</v>
      </c>
      <c r="O46" s="334">
        <f t="shared" si="12"/>
        <v>-572.16532499999994</v>
      </c>
      <c r="P46" s="332" t="e">
        <f t="shared" si="22"/>
        <v>#DIV/0!</v>
      </c>
    </row>
    <row r="47" spans="2:16" ht="15.75" customHeight="1">
      <c r="D47" s="1"/>
      <c r="E47" s="1" t="str">
        <f>'W1 Forecast'!B36</f>
        <v>Busser 1:</v>
      </c>
      <c r="F47" s="324">
        <f>H47*E17</f>
        <v>305.15483999999998</v>
      </c>
      <c r="G47" s="325">
        <f t="shared" si="19"/>
        <v>25.429570000000002</v>
      </c>
      <c r="H47" s="326">
        <f>+'W1 Forecast'!E36</f>
        <v>4.0000000000000001E-3</v>
      </c>
      <c r="I47" s="219">
        <f>'Entry Sheet '!E79+'Entry Sheet '!E81</f>
        <v>820.8</v>
      </c>
      <c r="J47" s="218">
        <f>'Entry Sheet '!E78</f>
        <v>68.400000000000006</v>
      </c>
      <c r="K47" s="218">
        <f>'Entry Sheet '!E80</f>
        <v>0</v>
      </c>
      <c r="L47" s="325">
        <f t="shared" si="18"/>
        <v>68.400000000000006</v>
      </c>
      <c r="M47" s="330">
        <f t="shared" si="20"/>
        <v>1.0759128054465727E-2</v>
      </c>
      <c r="N47" s="332">
        <f t="shared" si="21"/>
        <v>11.999999999999998</v>
      </c>
      <c r="O47" s="334">
        <f t="shared" si="12"/>
        <v>515.64516000000003</v>
      </c>
      <c r="P47" s="332">
        <f t="shared" si="22"/>
        <v>42.970430000000007</v>
      </c>
    </row>
    <row r="48" spans="2:16" ht="15.75" customHeight="1" thickBot="1">
      <c r="D48" s="1"/>
      <c r="E48" s="1" t="str">
        <f>'W1 Forecast'!B37</f>
        <v>Busser 3:</v>
      </c>
      <c r="F48" s="324">
        <f>H48*E17</f>
        <v>228.86612999999997</v>
      </c>
      <c r="G48" s="325">
        <f t="shared" ref="G48" si="27">F48/N48</f>
        <v>17.605086923076922</v>
      </c>
      <c r="H48" s="326">
        <f>+'W1 Forecast'!E37</f>
        <v>3.0000000000000001E-3</v>
      </c>
      <c r="I48" s="219">
        <f>'Entry Sheet '!E71+'Entry Sheet '!E73</f>
        <v>42.9</v>
      </c>
      <c r="J48" s="218">
        <f>'Entry Sheet '!E70</f>
        <v>3.3</v>
      </c>
      <c r="K48" s="218">
        <f>'Entry Sheet '!E72</f>
        <v>0</v>
      </c>
      <c r="L48" s="325">
        <f t="shared" ref="L48" si="28">+K48+J48</f>
        <v>3.3</v>
      </c>
      <c r="M48" s="330">
        <f t="shared" si="20"/>
        <v>5.6233746775899082E-4</v>
      </c>
      <c r="N48" s="332">
        <f t="shared" si="21"/>
        <v>13</v>
      </c>
      <c r="O48" s="334">
        <f t="shared" si="12"/>
        <v>-185.96612999999996</v>
      </c>
      <c r="P48" s="332">
        <f t="shared" si="22"/>
        <v>-14.305086923076921</v>
      </c>
    </row>
    <row r="49" spans="4:18" ht="15.75" customHeight="1" thickBot="1">
      <c r="D49" s="1"/>
      <c r="E49" s="10" t="s">
        <v>11</v>
      </c>
      <c r="F49" s="336">
        <f>SUM(F40:F48)</f>
        <v>8859.5038983897157</v>
      </c>
      <c r="G49" s="337" t="e">
        <f>SUM(G41:G48)</f>
        <v>#DIV/0!</v>
      </c>
      <c r="H49" s="338">
        <f>SUM(H40:H48)</f>
        <v>0.11613125845737485</v>
      </c>
      <c r="I49" s="339">
        <f>SUM(I40:I48)</f>
        <v>7401.7699999999995</v>
      </c>
      <c r="J49" s="337">
        <f>SUM(J41:J48)</f>
        <v>528.9</v>
      </c>
      <c r="K49" s="337">
        <f>SUM(K41:K48)</f>
        <v>0</v>
      </c>
      <c r="L49" s="337">
        <f>SUM(L41:L48)</f>
        <v>528.9</v>
      </c>
      <c r="M49" s="343">
        <f>+I49/E17</f>
        <v>9.7023137499637896E-2</v>
      </c>
      <c r="N49" s="341">
        <f t="shared" si="21"/>
        <v>13.994649272074115</v>
      </c>
      <c r="O49" s="344">
        <f>SUM(O40:O48)</f>
        <v>-1457.733898389715</v>
      </c>
      <c r="P49" s="392" t="e">
        <f t="shared" si="22"/>
        <v>#DIV/0!</v>
      </c>
    </row>
    <row r="50" spans="4:18" ht="15.75" customHeight="1" thickBot="1">
      <c r="D50" s="1"/>
      <c r="E50" s="10" t="s">
        <v>0</v>
      </c>
      <c r="F50" s="346">
        <f t="shared" ref="F50:M50" si="29">+F49+F39</f>
        <v>18474.389904604868</v>
      </c>
      <c r="G50" s="347" t="e">
        <f t="shared" si="29"/>
        <v>#DIV/0!</v>
      </c>
      <c r="H50" s="348">
        <f t="shared" si="29"/>
        <v>0.24216414073071721</v>
      </c>
      <c r="I50" s="349">
        <f t="shared" si="29"/>
        <v>17562.8</v>
      </c>
      <c r="J50" s="347">
        <f t="shared" si="29"/>
        <v>1008.5999999999999</v>
      </c>
      <c r="K50" s="347">
        <f t="shared" si="29"/>
        <v>13.5</v>
      </c>
      <c r="L50" s="347">
        <f t="shared" si="29"/>
        <v>1022.0999999999999</v>
      </c>
      <c r="M50" s="350">
        <f t="shared" si="29"/>
        <v>0.23021492957476936</v>
      </c>
      <c r="N50" s="391">
        <f>+I50/L50</f>
        <v>17.183054495646218</v>
      </c>
      <c r="O50" s="352">
        <f>+O49+O39</f>
        <v>-911.58990460486871</v>
      </c>
      <c r="P50" s="351" t="e">
        <f>+P49+P39</f>
        <v>#DIV/0!</v>
      </c>
      <c r="R50" s="249"/>
    </row>
    <row r="51" spans="4:18" ht="15.75" customHeight="1">
      <c r="D51" s="1"/>
      <c r="E51" s="65"/>
      <c r="F51" s="122"/>
      <c r="G51" s="122"/>
      <c r="H51" s="122"/>
      <c r="I51" s="123"/>
      <c r="J51" s="58"/>
      <c r="K51" s="57"/>
      <c r="L51" s="56"/>
      <c r="M51" s="57"/>
    </row>
    <row r="52" spans="4:18" ht="15.75" customHeight="1">
      <c r="D52" s="1"/>
      <c r="E52" s="65"/>
      <c r="F52" s="56"/>
      <c r="G52" s="57"/>
      <c r="H52" s="58"/>
      <c r="I52" s="59"/>
      <c r="J52" s="58"/>
      <c r="K52" s="57"/>
      <c r="L52" s="56"/>
      <c r="M52" s="57"/>
    </row>
    <row r="53" spans="4:18" ht="15.75" customHeight="1">
      <c r="D53" s="1"/>
      <c r="E53" s="65"/>
      <c r="F53" s="56"/>
      <c r="G53" s="57"/>
      <c r="H53" s="58"/>
      <c r="I53" s="59"/>
      <c r="J53" s="58"/>
      <c r="K53" s="57"/>
      <c r="L53" s="56"/>
      <c r="M53" s="57"/>
    </row>
    <row r="54" spans="4:18" ht="15.75" customHeight="1">
      <c r="D54" s="1"/>
      <c r="E54" s="65"/>
      <c r="F54" s="56"/>
      <c r="G54" s="57"/>
      <c r="H54" s="58"/>
      <c r="I54" s="59"/>
      <c r="J54" s="58"/>
      <c r="K54" s="57"/>
      <c r="L54" s="56"/>
      <c r="M54" s="57"/>
    </row>
    <row r="55" spans="4:18" ht="15.75" customHeight="1">
      <c r="D55" s="1"/>
      <c r="E55" s="40"/>
      <c r="F55" s="66"/>
      <c r="G55" s="66"/>
      <c r="H55" s="67"/>
      <c r="I55" s="66"/>
      <c r="J55" s="68"/>
      <c r="K55" s="66"/>
      <c r="L55" s="56"/>
      <c r="M55" s="66"/>
    </row>
    <row r="56" spans="4:18" hidden="1">
      <c r="E56" s="926" t="s">
        <v>15</v>
      </c>
      <c r="F56" s="927"/>
      <c r="G56" s="927"/>
      <c r="H56" s="928"/>
      <c r="I56" s="929"/>
      <c r="J56" s="926" t="s">
        <v>62</v>
      </c>
      <c r="K56" s="928"/>
      <c r="L56" s="928"/>
      <c r="M56" s="928"/>
      <c r="N56" s="928"/>
      <c r="O56" s="929"/>
    </row>
    <row r="57" spans="4:18" ht="25.5" hidden="1">
      <c r="E57" s="113" t="s">
        <v>63</v>
      </c>
      <c r="F57" s="69" t="s">
        <v>64</v>
      </c>
      <c r="G57" s="69" t="s">
        <v>2</v>
      </c>
      <c r="H57" s="69" t="s">
        <v>59</v>
      </c>
      <c r="I57" s="70" t="s">
        <v>51</v>
      </c>
      <c r="J57" s="71" t="s">
        <v>65</v>
      </c>
      <c r="K57" s="71" t="s">
        <v>66</v>
      </c>
      <c r="L57" s="69" t="s">
        <v>38</v>
      </c>
      <c r="M57" s="69" t="s">
        <v>12</v>
      </c>
      <c r="N57" s="69" t="s">
        <v>13</v>
      </c>
      <c r="O57" s="72" t="s">
        <v>67</v>
      </c>
    </row>
    <row r="58" spans="4:18" hidden="1">
      <c r="D58" s="1" t="s">
        <v>68</v>
      </c>
      <c r="E58" s="114">
        <v>190</v>
      </c>
      <c r="F58" s="73">
        <v>0</v>
      </c>
      <c r="G58" s="73">
        <f>+E58+F58</f>
        <v>190</v>
      </c>
      <c r="H58" s="73">
        <f>+F58+G58</f>
        <v>190</v>
      </c>
      <c r="I58" s="74">
        <f>+E58-H58</f>
        <v>0</v>
      </c>
      <c r="J58" s="75">
        <f>K58/G58</f>
        <v>13.936842105263159</v>
      </c>
      <c r="K58" s="49">
        <v>2648</v>
      </c>
      <c r="L58" s="76">
        <f>K58/$E$17</f>
        <v>3.471024742717501E-2</v>
      </c>
      <c r="M58" s="49">
        <f>+K58</f>
        <v>2648</v>
      </c>
      <c r="N58" s="77">
        <f>+M58/E17</f>
        <v>3.471024742717501E-2</v>
      </c>
      <c r="O58" s="78">
        <f>+K58-M58</f>
        <v>0</v>
      </c>
    </row>
    <row r="59" spans="4:18" hidden="1">
      <c r="D59" s="1" t="s">
        <v>69</v>
      </c>
      <c r="E59" s="114">
        <v>35.01</v>
      </c>
      <c r="F59" s="73">
        <v>0</v>
      </c>
      <c r="G59" s="73">
        <v>35.01</v>
      </c>
      <c r="H59" s="79">
        <v>0</v>
      </c>
      <c r="I59" s="74">
        <v>0</v>
      </c>
      <c r="J59" s="75">
        <v>0</v>
      </c>
      <c r="K59" s="49">
        <v>630.17999999999995</v>
      </c>
      <c r="L59" s="76">
        <v>0</v>
      </c>
      <c r="M59" s="49">
        <f>+J59*H59</f>
        <v>0</v>
      </c>
      <c r="N59" s="77">
        <v>0</v>
      </c>
      <c r="O59" s="80">
        <v>0</v>
      </c>
    </row>
    <row r="60" spans="4:18" hidden="1">
      <c r="D60" s="1" t="s">
        <v>70</v>
      </c>
      <c r="E60" s="114">
        <v>110</v>
      </c>
      <c r="F60" s="73">
        <v>0</v>
      </c>
      <c r="G60" s="73">
        <f>E60+F60</f>
        <v>110</v>
      </c>
      <c r="H60" s="79">
        <f>+M60/J60</f>
        <v>110</v>
      </c>
      <c r="I60" s="74">
        <f>+E60-H60</f>
        <v>0</v>
      </c>
      <c r="J60" s="75">
        <f>K60/G60</f>
        <v>19.40909090909091</v>
      </c>
      <c r="K60" s="49">
        <v>2135</v>
      </c>
      <c r="L60" s="76">
        <f>K60/$E$17</f>
        <v>2.7985792393133927E-2</v>
      </c>
      <c r="M60" s="49">
        <f>+K60</f>
        <v>2135</v>
      </c>
      <c r="N60" s="77">
        <f>+M60/E17</f>
        <v>2.7985792393133927E-2</v>
      </c>
      <c r="O60" s="80">
        <f>+K60-M60</f>
        <v>0</v>
      </c>
    </row>
    <row r="61" spans="4:18" hidden="1">
      <c r="D61" s="1" t="s">
        <v>71</v>
      </c>
      <c r="E61" s="114"/>
      <c r="F61" s="73"/>
      <c r="G61" s="73">
        <f>+E61+F61</f>
        <v>0</v>
      </c>
      <c r="H61" s="79">
        <f>'[3]Schedule Planner - New'!R40</f>
        <v>350.69440124806869</v>
      </c>
      <c r="I61" s="74">
        <f t="shared" ref="I61:I68" si="30">+G61-H61</f>
        <v>-350.69440124806869</v>
      </c>
      <c r="J61" s="75" t="e">
        <f>+K61/G61</f>
        <v>#DIV/0!</v>
      </c>
      <c r="K61" s="49"/>
      <c r="L61" s="76">
        <f>+K61/E$17</f>
        <v>0</v>
      </c>
      <c r="M61" s="81" t="e">
        <f>+H61*J61</f>
        <v>#DIV/0!</v>
      </c>
      <c r="N61" s="76" t="e">
        <f>+M61/E$17</f>
        <v>#DIV/0!</v>
      </c>
      <c r="O61" s="80" t="e">
        <f>+K61-M61</f>
        <v>#DIV/0!</v>
      </c>
    </row>
    <row r="62" spans="4:18" hidden="1">
      <c r="D62" s="1" t="s">
        <v>72</v>
      </c>
      <c r="E62" s="114"/>
      <c r="F62" s="73"/>
      <c r="G62" s="73">
        <f t="shared" ref="G62:G68" si="31">+E62+F62</f>
        <v>0</v>
      </c>
      <c r="H62" s="79">
        <f>'[3]Schedule Planner - New'!R41</f>
        <v>422.85637871826748</v>
      </c>
      <c r="I62" s="74">
        <f t="shared" si="30"/>
        <v>-422.85637871826748</v>
      </c>
      <c r="J62" s="75" t="e">
        <f t="shared" ref="J62:J75" si="32">+K62/G62</f>
        <v>#DIV/0!</v>
      </c>
      <c r="K62" s="49"/>
      <c r="L62" s="76">
        <f t="shared" ref="L62:L68" si="33">+K62/E$17</f>
        <v>0</v>
      </c>
      <c r="M62" s="81" t="e">
        <f t="shared" ref="M62:M68" si="34">+H62*J62</f>
        <v>#DIV/0!</v>
      </c>
      <c r="N62" s="76" t="e">
        <f t="shared" ref="N62:N75" si="35">+M62/E$17</f>
        <v>#DIV/0!</v>
      </c>
      <c r="O62" s="80" t="e">
        <f t="shared" ref="O62:O68" si="36">+K62-M62</f>
        <v>#DIV/0!</v>
      </c>
    </row>
    <row r="63" spans="4:18" hidden="1">
      <c r="D63" s="1" t="s">
        <v>73</v>
      </c>
      <c r="E63" s="114"/>
      <c r="F63" s="73"/>
      <c r="G63" s="73">
        <f t="shared" si="31"/>
        <v>0</v>
      </c>
      <c r="H63" s="79">
        <f>'[3]Schedule Planner - New'!R42</f>
        <v>171.87518701457768</v>
      </c>
      <c r="I63" s="74">
        <f t="shared" si="30"/>
        <v>-171.87518701457768</v>
      </c>
      <c r="J63" s="75" t="e">
        <f t="shared" si="32"/>
        <v>#DIV/0!</v>
      </c>
      <c r="K63" s="49"/>
      <c r="L63" s="76">
        <f t="shared" si="33"/>
        <v>0</v>
      </c>
      <c r="M63" s="81" t="e">
        <f t="shared" si="34"/>
        <v>#DIV/0!</v>
      </c>
      <c r="N63" s="76" t="e">
        <f t="shared" si="35"/>
        <v>#DIV/0!</v>
      </c>
      <c r="O63" s="80" t="e">
        <f t="shared" si="36"/>
        <v>#DIV/0!</v>
      </c>
    </row>
    <row r="64" spans="4:18" hidden="1">
      <c r="D64" s="1" t="s">
        <v>8</v>
      </c>
      <c r="E64" s="114"/>
      <c r="F64" s="73"/>
      <c r="G64" s="73">
        <f t="shared" si="31"/>
        <v>0</v>
      </c>
      <c r="H64" s="79">
        <f>'[3]Schedule Planner - New'!R43</f>
        <v>73.917426115363867</v>
      </c>
      <c r="I64" s="74">
        <f t="shared" si="30"/>
        <v>-73.917426115363867</v>
      </c>
      <c r="J64" s="75" t="e">
        <f t="shared" si="32"/>
        <v>#DIV/0!</v>
      </c>
      <c r="K64" s="49"/>
      <c r="L64" s="76">
        <f t="shared" si="33"/>
        <v>0</v>
      </c>
      <c r="M64" s="81" t="e">
        <f t="shared" si="34"/>
        <v>#DIV/0!</v>
      </c>
      <c r="N64" s="76" t="e">
        <f t="shared" si="35"/>
        <v>#DIV/0!</v>
      </c>
      <c r="O64" s="80" t="e">
        <f t="shared" si="36"/>
        <v>#DIV/0!</v>
      </c>
    </row>
    <row r="65" spans="4:15" hidden="1">
      <c r="D65" s="1" t="s">
        <v>74</v>
      </c>
      <c r="E65" s="114"/>
      <c r="F65" s="73"/>
      <c r="G65" s="73">
        <f t="shared" si="31"/>
        <v>0</v>
      </c>
      <c r="H65" s="79">
        <f>'[3]Schedule Planner - New'!R44</f>
        <v>81.718958553283159</v>
      </c>
      <c r="I65" s="74">
        <f t="shared" si="30"/>
        <v>-81.718958553283159</v>
      </c>
      <c r="J65" s="75" t="e">
        <f t="shared" si="32"/>
        <v>#DIV/0!</v>
      </c>
      <c r="K65" s="49"/>
      <c r="L65" s="76">
        <f t="shared" si="33"/>
        <v>0</v>
      </c>
      <c r="M65" s="81" t="e">
        <f t="shared" si="34"/>
        <v>#DIV/0!</v>
      </c>
      <c r="N65" s="76" t="e">
        <f t="shared" si="35"/>
        <v>#DIV/0!</v>
      </c>
      <c r="O65" s="80" t="e">
        <f t="shared" si="36"/>
        <v>#DIV/0!</v>
      </c>
    </row>
    <row r="66" spans="4:15" hidden="1">
      <c r="D66" s="1" t="s">
        <v>9</v>
      </c>
      <c r="E66" s="114"/>
      <c r="F66" s="73"/>
      <c r="G66" s="73">
        <f t="shared" si="31"/>
        <v>0</v>
      </c>
      <c r="H66" s="79">
        <f>'[3]Schedule Planner - New'!R45</f>
        <v>88.081977362304968</v>
      </c>
      <c r="I66" s="74">
        <f t="shared" si="30"/>
        <v>-88.081977362304968</v>
      </c>
      <c r="J66" s="75" t="e">
        <f t="shared" si="32"/>
        <v>#DIV/0!</v>
      </c>
      <c r="K66" s="49"/>
      <c r="L66" s="76">
        <f t="shared" si="33"/>
        <v>0</v>
      </c>
      <c r="M66" s="81" t="e">
        <f t="shared" si="34"/>
        <v>#DIV/0!</v>
      </c>
      <c r="N66" s="76" t="e">
        <f t="shared" si="35"/>
        <v>#DIV/0!</v>
      </c>
      <c r="O66" s="80" t="e">
        <f t="shared" si="36"/>
        <v>#DIV/0!</v>
      </c>
    </row>
    <row r="67" spans="4:15" hidden="1">
      <c r="D67" s="1" t="s">
        <v>10</v>
      </c>
      <c r="E67" s="114"/>
      <c r="F67" s="73"/>
      <c r="G67" s="73">
        <f t="shared" si="31"/>
        <v>0</v>
      </c>
      <c r="H67" s="79">
        <f>'[3]Schedule Planner - New'!R46</f>
        <v>70.783443543790739</v>
      </c>
      <c r="I67" s="74">
        <f t="shared" si="30"/>
        <v>-70.783443543790739</v>
      </c>
      <c r="J67" s="75" t="e">
        <f t="shared" si="32"/>
        <v>#DIV/0!</v>
      </c>
      <c r="K67" s="49"/>
      <c r="L67" s="76">
        <f t="shared" si="33"/>
        <v>0</v>
      </c>
      <c r="M67" s="81" t="e">
        <f t="shared" si="34"/>
        <v>#DIV/0!</v>
      </c>
      <c r="N67" s="76" t="e">
        <f t="shared" si="35"/>
        <v>#DIV/0!</v>
      </c>
      <c r="O67" s="80" t="e">
        <f t="shared" si="36"/>
        <v>#DIV/0!</v>
      </c>
    </row>
    <row r="68" spans="4:15" hidden="1">
      <c r="D68" s="1" t="s">
        <v>75</v>
      </c>
      <c r="E68" s="114"/>
      <c r="F68" s="73"/>
      <c r="G68" s="73">
        <f t="shared" si="31"/>
        <v>0</v>
      </c>
      <c r="H68" s="79">
        <f>'[3]Schedule Planner - New'!R47</f>
        <v>32.085123766349717</v>
      </c>
      <c r="I68" s="74">
        <f t="shared" si="30"/>
        <v>-32.085123766349717</v>
      </c>
      <c r="J68" s="75" t="e">
        <f t="shared" si="32"/>
        <v>#DIV/0!</v>
      </c>
      <c r="K68" s="49"/>
      <c r="L68" s="76">
        <f t="shared" si="33"/>
        <v>0</v>
      </c>
      <c r="M68" s="81" t="e">
        <f t="shared" si="34"/>
        <v>#DIV/0!</v>
      </c>
      <c r="N68" s="76" t="e">
        <f t="shared" si="35"/>
        <v>#DIV/0!</v>
      </c>
      <c r="O68" s="80" t="e">
        <f t="shared" si="36"/>
        <v>#DIV/0!</v>
      </c>
    </row>
    <row r="69" spans="4:15" ht="16.5" hidden="1" customHeight="1">
      <c r="D69" s="1" t="s">
        <v>76</v>
      </c>
      <c r="E69" s="114"/>
      <c r="F69" s="73"/>
      <c r="G69" s="73"/>
      <c r="H69" s="79"/>
      <c r="I69" s="74"/>
      <c r="J69" s="75"/>
      <c r="K69" s="49"/>
      <c r="L69" s="76"/>
      <c r="M69" s="81"/>
      <c r="N69" s="76"/>
      <c r="O69" s="80"/>
    </row>
    <row r="70" spans="4:15" hidden="1">
      <c r="D70" s="1"/>
      <c r="E70" s="114"/>
      <c r="F70" s="73"/>
      <c r="G70" s="73"/>
      <c r="H70" s="79"/>
      <c r="I70" s="74"/>
      <c r="J70" s="75"/>
      <c r="K70" s="49"/>
      <c r="L70" s="76"/>
      <c r="M70" s="81"/>
      <c r="N70" s="76"/>
      <c r="O70" s="80"/>
    </row>
    <row r="71" spans="4:15" ht="13.5" hidden="1" thickBot="1">
      <c r="D71" s="1"/>
      <c r="E71" s="115"/>
      <c r="F71" s="82"/>
      <c r="G71" s="73"/>
      <c r="H71" s="79"/>
      <c r="I71" s="74"/>
      <c r="J71" s="75"/>
      <c r="K71" s="83"/>
      <c r="L71" s="76"/>
      <c r="M71" s="81"/>
      <c r="N71" s="76"/>
      <c r="O71" s="80"/>
    </row>
    <row r="72" spans="4:15" hidden="1">
      <c r="D72" s="1" t="s">
        <v>0</v>
      </c>
      <c r="E72" s="84">
        <f>SUM(E58:E71)</f>
        <v>335.01</v>
      </c>
      <c r="F72" s="85">
        <f t="shared" ref="F72:O72" si="37">SUM(F58:F71)</f>
        <v>0</v>
      </c>
      <c r="G72" s="85">
        <f t="shared" si="37"/>
        <v>335.01</v>
      </c>
      <c r="H72" s="85">
        <f t="shared" si="37"/>
        <v>1592.0128963220063</v>
      </c>
      <c r="I72" s="85">
        <f t="shared" si="37"/>
        <v>-1292.0128963220063</v>
      </c>
      <c r="J72" s="86">
        <f t="shared" si="32"/>
        <v>16.158263932419928</v>
      </c>
      <c r="K72" s="85">
        <f t="shared" si="37"/>
        <v>5413.18</v>
      </c>
      <c r="L72" s="87">
        <f>K72/$E$17</f>
        <v>7.0956501951599402E-2</v>
      </c>
      <c r="M72" s="85" t="e">
        <f t="shared" si="37"/>
        <v>#DIV/0!</v>
      </c>
      <c r="N72" s="87" t="e">
        <f t="shared" si="35"/>
        <v>#DIV/0!</v>
      </c>
      <c r="O72" s="88" t="e">
        <f t="shared" si="37"/>
        <v>#DIV/0!</v>
      </c>
    </row>
    <row r="73" spans="4:15" hidden="1">
      <c r="D73" s="1" t="s">
        <v>77</v>
      </c>
      <c r="E73" s="89">
        <f>+E58+E62+E64+E66+E67+E68+E69+E70</f>
        <v>190</v>
      </c>
      <c r="F73" s="90">
        <f>+F58+F62+F64+F66+F67+F68+F69+F70</f>
        <v>0</v>
      </c>
      <c r="G73" s="90">
        <f>+G58+G62+G64+G66+G67+G68+G69+G70</f>
        <v>190</v>
      </c>
      <c r="H73" s="90">
        <f>+H58+H62+H64+H66+H67+H68+H69+H70</f>
        <v>877.72434950607692</v>
      </c>
      <c r="I73" s="90">
        <f>+I58+I62+I64+I66+I67+I68+I69+I70</f>
        <v>-687.72434950607681</v>
      </c>
      <c r="J73" s="91">
        <f t="shared" si="32"/>
        <v>13.936842105263159</v>
      </c>
      <c r="K73" s="90">
        <f>+K58+K62+K64+K66+K67+K68+K69+K70</f>
        <v>2648</v>
      </c>
      <c r="L73" s="76">
        <f>K73/$E$17</f>
        <v>3.471024742717501E-2</v>
      </c>
      <c r="M73" s="90" t="e">
        <f>+M58+M62+M64+M66+M67+M68+M69+M70</f>
        <v>#DIV/0!</v>
      </c>
      <c r="N73" s="76" t="e">
        <f t="shared" si="35"/>
        <v>#DIV/0!</v>
      </c>
      <c r="O73" s="92" t="e">
        <f>+O58+O62+O64+O66+O67+O68+O69+O70</f>
        <v>#DIV/0!</v>
      </c>
    </row>
    <row r="74" spans="4:15" hidden="1">
      <c r="D74" s="1" t="s">
        <v>78</v>
      </c>
      <c r="E74" s="89">
        <f>+E60+E61+E63+E65</f>
        <v>110</v>
      </c>
      <c r="F74" s="90">
        <f>+F60+F61+F63+F65</f>
        <v>0</v>
      </c>
      <c r="G74" s="90">
        <f>+G60+G61+G63+G65</f>
        <v>110</v>
      </c>
      <c r="H74" s="90">
        <f>+H60+H61+H63+H65</f>
        <v>714.28854681592952</v>
      </c>
      <c r="I74" s="90">
        <f>+I60+I61+I63+I65</f>
        <v>-604.28854681592952</v>
      </c>
      <c r="J74" s="91">
        <f t="shared" si="32"/>
        <v>19.40909090909091</v>
      </c>
      <c r="K74" s="90">
        <f>+K60+K61+K63+K65</f>
        <v>2135</v>
      </c>
      <c r="L74" s="76">
        <f>K74/$E$17</f>
        <v>2.7985792393133927E-2</v>
      </c>
      <c r="M74" s="90" t="e">
        <f>+M60+M61+M63+M65</f>
        <v>#DIV/0!</v>
      </c>
      <c r="N74" s="76" t="e">
        <f t="shared" si="35"/>
        <v>#DIV/0!</v>
      </c>
      <c r="O74" s="92" t="e">
        <f>+O60+O61+O63+O65</f>
        <v>#DIV/0!</v>
      </c>
    </row>
    <row r="75" spans="4:15" ht="13.5" hidden="1" thickBot="1">
      <c r="D75" s="1" t="s">
        <v>79</v>
      </c>
      <c r="E75" s="93">
        <f>+E65+E63</f>
        <v>0</v>
      </c>
      <c r="F75" s="94">
        <f>+F65+F63</f>
        <v>0</v>
      </c>
      <c r="G75" s="94">
        <f>+G65+G63</f>
        <v>0</v>
      </c>
      <c r="H75" s="94">
        <f>+H65+H63</f>
        <v>253.59414556786083</v>
      </c>
      <c r="I75" s="94">
        <f>+I65+I63</f>
        <v>-253.59414556786083</v>
      </c>
      <c r="J75" s="95" t="e">
        <f t="shared" si="32"/>
        <v>#DIV/0!</v>
      </c>
      <c r="K75" s="94">
        <f>+K65+K63</f>
        <v>0</v>
      </c>
      <c r="L75" s="96">
        <f>K75/$E$17</f>
        <v>0</v>
      </c>
      <c r="M75" s="94" t="e">
        <f>+M65+M63</f>
        <v>#DIV/0!</v>
      </c>
      <c r="N75" s="96" t="e">
        <f t="shared" si="35"/>
        <v>#DIV/0!</v>
      </c>
      <c r="O75" s="97" t="e">
        <f>+O65+O63</f>
        <v>#DIV/0!</v>
      </c>
    </row>
    <row r="77" spans="4:15">
      <c r="L77" s="38" t="s">
        <v>19</v>
      </c>
    </row>
    <row r="126" ht="3.75" customHeight="1"/>
    <row r="134" ht="5.25" customHeight="1"/>
    <row r="142" ht="3.75" customHeight="1"/>
    <row r="143" ht="15" customHeight="1"/>
    <row r="150" ht="3.75" customHeight="1"/>
  </sheetData>
  <mergeCells count="14">
    <mergeCell ref="N9:Q9"/>
    <mergeCell ref="E56:I56"/>
    <mergeCell ref="J56:O56"/>
    <mergeCell ref="E2:J2"/>
    <mergeCell ref="E4:F4"/>
    <mergeCell ref="E5:F5"/>
    <mergeCell ref="F28:H28"/>
    <mergeCell ref="I28:N28"/>
    <mergeCell ref="O28:P28"/>
    <mergeCell ref="B29:D29"/>
    <mergeCell ref="G1:H1"/>
    <mergeCell ref="B9:C9"/>
    <mergeCell ref="E9:G9"/>
    <mergeCell ref="H9:M9"/>
  </mergeCells>
  <phoneticPr fontId="0" type="noConversion"/>
  <pageMargins left="0.14000000000000001" right="0.14000000000000001" top="0.15" bottom="0.18" header="0.15" footer="0.15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88"/>
  <sheetViews>
    <sheetView zoomScaleNormal="100" workbookViewId="0">
      <selection activeCell="F8" sqref="F8"/>
    </sheetView>
  </sheetViews>
  <sheetFormatPr defaultRowHeight="15"/>
  <cols>
    <col min="1" max="1" width="3.85546875" customWidth="1"/>
    <col min="2" max="2" width="17.85546875" style="3" customWidth="1"/>
    <col min="3" max="3" width="11.28515625" customWidth="1"/>
    <col min="4" max="4" width="11.28515625" bestFit="1" customWidth="1"/>
    <col min="5" max="5" width="11.42578125" customWidth="1"/>
    <col min="6" max="8" width="10.5703125" customWidth="1"/>
    <col min="9" max="9" width="11.140625" customWidth="1"/>
    <col min="10" max="10" width="10.5703125" customWidth="1"/>
    <col min="11" max="11" width="10.5703125" bestFit="1" customWidth="1"/>
    <col min="13" max="13" width="9.140625" customWidth="1"/>
  </cols>
  <sheetData>
    <row r="1" spans="1:15" ht="22.5" customHeight="1" thickBot="1">
      <c r="A1" t="s">
        <v>19</v>
      </c>
    </row>
    <row r="2" spans="1:15" ht="15.75" thickBot="1">
      <c r="E2" s="3" t="s">
        <v>20</v>
      </c>
      <c r="F2" s="940" t="str">
        <f>'W1 Forecast'!F2</f>
        <v>Max Fish</v>
      </c>
      <c r="G2" s="941"/>
      <c r="I2" s="19"/>
      <c r="J2" s="4"/>
    </row>
    <row r="3" spans="1:15" ht="16.5" thickBot="1">
      <c r="D3" s="140" t="s">
        <v>21</v>
      </c>
      <c r="E3" s="148">
        <f>'W1 Forecast'!E3</f>
        <v>2</v>
      </c>
      <c r="F3" s="143" t="s">
        <v>87</v>
      </c>
      <c r="G3" s="148">
        <f>'W1 Forecast'!G3+1</f>
        <v>2</v>
      </c>
    </row>
    <row r="4" spans="1:15" ht="17.25" customHeight="1" thickBot="1"/>
    <row r="5" spans="1:15" ht="24" customHeight="1" thickBot="1">
      <c r="A5" s="5"/>
      <c r="B5" s="195"/>
      <c r="C5" s="942" t="s">
        <v>23</v>
      </c>
      <c r="D5" s="942"/>
      <c r="E5" s="942"/>
      <c r="F5" s="942"/>
      <c r="G5" s="942"/>
      <c r="H5" s="942"/>
      <c r="I5" s="942"/>
      <c r="J5" s="16"/>
      <c r="K5" s="6"/>
    </row>
    <row r="6" spans="1:15" ht="15.75" thickBot="1">
      <c r="A6" s="7"/>
      <c r="B6" s="19"/>
      <c r="C6" s="943" t="s">
        <v>19</v>
      </c>
      <c r="D6" s="944"/>
      <c r="E6" s="945"/>
      <c r="F6" s="874">
        <f>'W1 Forecast'!F6:I6</f>
        <v>2021</v>
      </c>
      <c r="G6" s="874"/>
      <c r="H6" s="874"/>
      <c r="I6" s="875"/>
      <c r="K6" s="8"/>
      <c r="N6" s="35"/>
      <c r="O6" s="34"/>
    </row>
    <row r="7" spans="1:15" ht="15.75" thickBot="1">
      <c r="A7" s="7"/>
      <c r="B7" s="19"/>
      <c r="C7" s="320">
        <v>2014</v>
      </c>
      <c r="D7" s="321">
        <v>2015</v>
      </c>
      <c r="E7" s="322">
        <v>2016</v>
      </c>
      <c r="F7" s="323" t="s">
        <v>91</v>
      </c>
      <c r="G7" s="321" t="s">
        <v>92</v>
      </c>
      <c r="H7" s="321" t="s">
        <v>102</v>
      </c>
      <c r="I7" s="322" t="s">
        <v>2</v>
      </c>
      <c r="K7" s="196" t="s">
        <v>19</v>
      </c>
      <c r="N7" s="36"/>
      <c r="O7" s="34"/>
    </row>
    <row r="8" spans="1:15">
      <c r="A8" s="7"/>
      <c r="B8" s="19" t="s">
        <v>94</v>
      </c>
      <c r="C8" s="221"/>
      <c r="D8" s="222"/>
      <c r="E8" s="223"/>
      <c r="F8" s="221">
        <f>'Sales History &amp; Forecast'!AJ44</f>
        <v>1500</v>
      </c>
      <c r="G8" s="221">
        <f>'Sales History &amp; Forecast'!AK44</f>
        <v>4000</v>
      </c>
      <c r="H8" s="221">
        <f>'Sales History &amp; Forecast'!AL44</f>
        <v>0</v>
      </c>
      <c r="I8" s="223">
        <f>SUM(F8:H8)</f>
        <v>5500</v>
      </c>
      <c r="J8" s="197">
        <f>'W1 Forecast'!J14+1</f>
        <v>44228</v>
      </c>
      <c r="K8" s="8"/>
      <c r="O8" s="34"/>
    </row>
    <row r="9" spans="1:15" ht="15" customHeight="1">
      <c r="A9" s="7"/>
      <c r="B9" s="19" t="s">
        <v>95</v>
      </c>
      <c r="C9" s="221"/>
      <c r="D9" s="222"/>
      <c r="E9" s="223"/>
      <c r="F9" s="221">
        <f>'Sales History &amp; Forecast'!AJ45</f>
        <v>1700</v>
      </c>
      <c r="G9" s="221">
        <f>'Sales History &amp; Forecast'!AK45</f>
        <v>4000</v>
      </c>
      <c r="H9" s="221">
        <f>'Sales History &amp; Forecast'!AL45</f>
        <v>0</v>
      </c>
      <c r="I9" s="224">
        <f t="shared" ref="I9:I14" si="0">SUM(F9:H9)</f>
        <v>5700</v>
      </c>
      <c r="J9" s="197">
        <f t="shared" ref="J9:J14" si="1">J8+1</f>
        <v>44229</v>
      </c>
      <c r="K9" s="8"/>
    </row>
    <row r="10" spans="1:15">
      <c r="A10" s="7"/>
      <c r="B10" s="19" t="s">
        <v>96</v>
      </c>
      <c r="C10" s="221"/>
      <c r="D10" s="222"/>
      <c r="E10" s="223"/>
      <c r="F10" s="221">
        <f>'Sales History &amp; Forecast'!AJ46</f>
        <v>1700</v>
      </c>
      <c r="G10" s="221">
        <f>'Sales History &amp; Forecast'!AK46</f>
        <v>8500</v>
      </c>
      <c r="H10" s="221">
        <f>'Sales History &amp; Forecast'!AL46</f>
        <v>0</v>
      </c>
      <c r="I10" s="224">
        <f t="shared" si="0"/>
        <v>10200</v>
      </c>
      <c r="J10" s="197">
        <f t="shared" si="1"/>
        <v>44230</v>
      </c>
      <c r="K10" s="8"/>
    </row>
    <row r="11" spans="1:15">
      <c r="A11" s="7"/>
      <c r="B11" s="19" t="s">
        <v>97</v>
      </c>
      <c r="C11" s="221"/>
      <c r="D11" s="222"/>
      <c r="E11" s="223"/>
      <c r="F11" s="221">
        <f>'Sales History &amp; Forecast'!AJ47</f>
        <v>1700</v>
      </c>
      <c r="G11" s="221">
        <f>'Sales History &amp; Forecast'!AK47</f>
        <v>5000</v>
      </c>
      <c r="H11" s="221">
        <f>'Sales History &amp; Forecast'!AL47</f>
        <v>0</v>
      </c>
      <c r="I11" s="224">
        <f t="shared" si="0"/>
        <v>6700</v>
      </c>
      <c r="J11" s="197">
        <f t="shared" si="1"/>
        <v>44231</v>
      </c>
      <c r="K11" s="8"/>
    </row>
    <row r="12" spans="1:15">
      <c r="A12" s="7"/>
      <c r="B12" s="19" t="s">
        <v>98</v>
      </c>
      <c r="C12" s="221"/>
      <c r="D12" s="222"/>
      <c r="E12" s="223"/>
      <c r="F12" s="221">
        <f>'Sales History &amp; Forecast'!AJ48</f>
        <v>2500</v>
      </c>
      <c r="G12" s="221">
        <f>'Sales History &amp; Forecast'!AK48</f>
        <v>15000</v>
      </c>
      <c r="H12" s="221">
        <f>'Sales History &amp; Forecast'!AL48</f>
        <v>0</v>
      </c>
      <c r="I12" s="224">
        <f t="shared" si="0"/>
        <v>17500</v>
      </c>
      <c r="J12" s="197">
        <f t="shared" si="1"/>
        <v>44232</v>
      </c>
      <c r="K12" s="8"/>
    </row>
    <row r="13" spans="1:15">
      <c r="A13" s="7"/>
      <c r="B13" s="19" t="s">
        <v>99</v>
      </c>
      <c r="C13" s="221"/>
      <c r="D13" s="222"/>
      <c r="E13" s="223"/>
      <c r="F13" s="221">
        <f>'Sales History &amp; Forecast'!AJ49</f>
        <v>3000</v>
      </c>
      <c r="G13" s="221">
        <f>'Sales History &amp; Forecast'!AK49</f>
        <v>15500</v>
      </c>
      <c r="H13" s="221">
        <f>'Sales History &amp; Forecast'!AL49</f>
        <v>0</v>
      </c>
      <c r="I13" s="224">
        <f t="shared" si="0"/>
        <v>18500</v>
      </c>
      <c r="J13" s="197">
        <f t="shared" si="1"/>
        <v>44233</v>
      </c>
      <c r="K13" s="8"/>
    </row>
    <row r="14" spans="1:15" ht="15.75" thickBot="1">
      <c r="A14" s="7"/>
      <c r="B14" s="19" t="s">
        <v>100</v>
      </c>
      <c r="C14" s="221"/>
      <c r="D14" s="222"/>
      <c r="E14" s="223"/>
      <c r="F14" s="221">
        <f>'Sales History &amp; Forecast'!AJ50</f>
        <v>5000</v>
      </c>
      <c r="G14" s="221">
        <f>'Sales History &amp; Forecast'!AK50</f>
        <v>0</v>
      </c>
      <c r="H14" s="221">
        <f>'Sales History &amp; Forecast'!AL50</f>
        <v>1800</v>
      </c>
      <c r="I14" s="225">
        <f t="shared" si="0"/>
        <v>6800</v>
      </c>
      <c r="J14" s="197">
        <f t="shared" si="1"/>
        <v>44234</v>
      </c>
      <c r="K14" s="8"/>
    </row>
    <row r="15" spans="1:15" ht="15.75" thickBot="1">
      <c r="A15" s="7"/>
      <c r="B15" s="19" t="s">
        <v>0</v>
      </c>
      <c r="C15" s="198">
        <f>SUM(C8:C14)</f>
        <v>0</v>
      </c>
      <c r="D15" s="199">
        <f t="shared" ref="D15:H15" si="2">SUM(D8:D14)</f>
        <v>0</v>
      </c>
      <c r="E15" s="200">
        <f t="shared" si="2"/>
        <v>0</v>
      </c>
      <c r="F15" s="198">
        <f t="shared" si="2"/>
        <v>17100</v>
      </c>
      <c r="G15" s="199">
        <f t="shared" si="2"/>
        <v>52000</v>
      </c>
      <c r="H15" s="199">
        <f t="shared" si="2"/>
        <v>1800</v>
      </c>
      <c r="I15" s="201">
        <f>SUM(I8:I14)</f>
        <v>70900</v>
      </c>
      <c r="K15" s="8"/>
    </row>
    <row r="16" spans="1:15" ht="15.75" thickBot="1">
      <c r="A16" s="7"/>
      <c r="B16" s="19"/>
      <c r="K16" s="8"/>
    </row>
    <row r="17" spans="1:13" ht="18" customHeight="1" thickBot="1">
      <c r="A17" s="30"/>
      <c r="B17" s="31"/>
      <c r="C17" s="907" t="s">
        <v>22</v>
      </c>
      <c r="D17" s="907"/>
      <c r="E17" s="907"/>
      <c r="F17" s="907"/>
      <c r="G17" s="217"/>
      <c r="H17" s="908" t="s">
        <v>28</v>
      </c>
      <c r="I17" s="907"/>
      <c r="J17" s="909"/>
      <c r="K17" s="938" t="s">
        <v>39</v>
      </c>
      <c r="L17" s="939"/>
      <c r="M17" s="6"/>
    </row>
    <row r="18" spans="1:13" ht="15.75" thickBot="1">
      <c r="A18" s="5"/>
      <c r="B18" s="214"/>
      <c r="C18" s="215" t="s">
        <v>15</v>
      </c>
      <c r="D18" s="215" t="s">
        <v>14</v>
      </c>
      <c r="E18" s="215" t="s">
        <v>13</v>
      </c>
      <c r="F18" s="215" t="s">
        <v>12</v>
      </c>
      <c r="G18" s="6"/>
      <c r="I18" s="17" t="s">
        <v>37</v>
      </c>
      <c r="J18" s="18" t="s">
        <v>38</v>
      </c>
      <c r="K18" s="32" t="s">
        <v>40</v>
      </c>
      <c r="L18" s="33" t="s">
        <v>38</v>
      </c>
      <c r="M18" s="8"/>
    </row>
    <row r="19" spans="1:13" ht="15.75" thickBot="1">
      <c r="A19" s="7"/>
      <c r="B19" s="3" t="s">
        <v>17</v>
      </c>
      <c r="C19" s="255" t="s">
        <v>19</v>
      </c>
      <c r="D19" s="256"/>
      <c r="E19" s="363">
        <f>+F19/$I$15</f>
        <v>3.9329478138222851E-2</v>
      </c>
      <c r="F19" s="402">
        <f>'W1 Forecast'!F19</f>
        <v>2788.46</v>
      </c>
      <c r="G19" s="8"/>
      <c r="I19" s="17"/>
      <c r="J19" s="18"/>
      <c r="K19" s="32"/>
      <c r="L19" s="33"/>
      <c r="M19" s="8"/>
    </row>
    <row r="20" spans="1:13">
      <c r="A20" s="7"/>
      <c r="B20" s="1" t="s">
        <v>3</v>
      </c>
      <c r="C20" s="20">
        <f t="shared" ref="C20:C25" si="3">+F20/D20</f>
        <v>202.57142857142858</v>
      </c>
      <c r="D20" s="21">
        <f>'W1 Forecast'!D20</f>
        <v>14</v>
      </c>
      <c r="E20" s="22">
        <f>'W1 Forecast'!E20</f>
        <v>0.04</v>
      </c>
      <c r="F20" s="23">
        <f t="shared" ref="F20:F27" si="4">+E20*$I$15</f>
        <v>2836</v>
      </c>
      <c r="G20" s="8"/>
      <c r="H20" s="216" t="s">
        <v>29</v>
      </c>
      <c r="I20" s="24">
        <f t="shared" ref="I20:I25" si="5">+$I$26*J20</f>
        <v>46184.26</v>
      </c>
      <c r="J20" s="726">
        <f>'W1 Forecast'!J20</f>
        <v>0.65139999999999998</v>
      </c>
      <c r="K20" s="24">
        <f t="shared" ref="K20:K25" si="6">+I20*L20</f>
        <v>14778.9632</v>
      </c>
      <c r="L20" s="472">
        <f>'W1 Forecast'!L20</f>
        <v>0.32</v>
      </c>
      <c r="M20" s="8"/>
    </row>
    <row r="21" spans="1:13">
      <c r="A21" s="7"/>
      <c r="B21" s="1" t="s">
        <v>168</v>
      </c>
      <c r="C21" s="20">
        <f t="shared" si="3"/>
        <v>54.694285714285712</v>
      </c>
      <c r="D21" s="21">
        <f>'W1 Forecast'!D21</f>
        <v>17.5</v>
      </c>
      <c r="E21" s="22">
        <f>'W1 Forecast'!E21</f>
        <v>1.35E-2</v>
      </c>
      <c r="F21" s="23">
        <f t="shared" si="4"/>
        <v>957.15</v>
      </c>
      <c r="G21" s="8"/>
      <c r="H21" s="216" t="s">
        <v>24</v>
      </c>
      <c r="I21" s="26">
        <f t="shared" si="5"/>
        <v>7323.97</v>
      </c>
      <c r="J21" s="727">
        <f>'W1 Forecast'!J21</f>
        <v>0.1033</v>
      </c>
      <c r="K21" s="26">
        <f t="shared" si="6"/>
        <v>1245.0749000000001</v>
      </c>
      <c r="L21" s="27">
        <f>'W1 Forecast'!L21</f>
        <v>0.17</v>
      </c>
      <c r="M21" s="8"/>
    </row>
    <row r="22" spans="1:13">
      <c r="A22" s="7"/>
      <c r="B22" s="1" t="s">
        <v>169</v>
      </c>
      <c r="C22" s="20">
        <f t="shared" si="3"/>
        <v>50.363448275862069</v>
      </c>
      <c r="D22" s="21">
        <f>'W1 Forecast'!D22</f>
        <v>14.5</v>
      </c>
      <c r="E22" s="22">
        <f>'W1 Forecast'!E22</f>
        <v>1.03E-2</v>
      </c>
      <c r="F22" s="23">
        <f t="shared" si="4"/>
        <v>730.27</v>
      </c>
      <c r="G22" s="8"/>
      <c r="H22" s="216" t="s">
        <v>25</v>
      </c>
      <c r="I22" s="26">
        <f t="shared" si="5"/>
        <v>3438.65</v>
      </c>
      <c r="J22" s="727">
        <f>'W1 Forecast'!J22</f>
        <v>4.8500000000000001E-2</v>
      </c>
      <c r="K22" s="26">
        <f t="shared" si="6"/>
        <v>653.34350000000006</v>
      </c>
      <c r="L22" s="27">
        <f>'W1 Forecast'!L22</f>
        <v>0.19</v>
      </c>
      <c r="M22" s="8"/>
    </row>
    <row r="23" spans="1:13" s="2" customFormat="1">
      <c r="A23" s="9"/>
      <c r="B23" s="1" t="s">
        <v>4</v>
      </c>
      <c r="C23" s="20">
        <f t="shared" si="3"/>
        <v>23.633333333333329</v>
      </c>
      <c r="D23" s="21">
        <f>'W1 Forecast'!D23</f>
        <v>13.5</v>
      </c>
      <c r="E23" s="22">
        <f>'W1 Forecast'!E23</f>
        <v>4.4999999999999997E-3</v>
      </c>
      <c r="F23" s="23">
        <f t="shared" si="4"/>
        <v>319.04999999999995</v>
      </c>
      <c r="G23" s="11"/>
      <c r="H23" s="216" t="s">
        <v>26</v>
      </c>
      <c r="I23" s="26">
        <f t="shared" si="5"/>
        <v>11939.56</v>
      </c>
      <c r="J23" s="727">
        <f>'W1 Forecast'!J23</f>
        <v>0.16839999999999999</v>
      </c>
      <c r="K23" s="26">
        <f t="shared" si="6"/>
        <v>2746.0988000000002</v>
      </c>
      <c r="L23" s="27">
        <f>'W1 Forecast'!L23</f>
        <v>0.23</v>
      </c>
      <c r="M23" s="11"/>
    </row>
    <row r="24" spans="1:13">
      <c r="A24" s="7"/>
      <c r="B24" s="1" t="s">
        <v>170</v>
      </c>
      <c r="C24" s="20">
        <f t="shared" si="3"/>
        <v>23.633333333333333</v>
      </c>
      <c r="D24" s="21">
        <f>'W1 Forecast'!D24</f>
        <v>15</v>
      </c>
      <c r="E24" s="22">
        <f>'W1 Forecast'!E24</f>
        <v>5.0000000000000001E-3</v>
      </c>
      <c r="F24" s="23">
        <f t="shared" si="4"/>
        <v>354.5</v>
      </c>
      <c r="G24" s="8"/>
      <c r="H24" s="216" t="s">
        <v>27</v>
      </c>
      <c r="I24" s="26">
        <f t="shared" si="5"/>
        <v>2013.5600000000002</v>
      </c>
      <c r="J24" s="727">
        <f>'W1 Forecast'!J24</f>
        <v>2.8400000000000002E-2</v>
      </c>
      <c r="K24" s="26">
        <f t="shared" si="6"/>
        <v>241.62720000000002</v>
      </c>
      <c r="L24" s="27">
        <f>'W1 Forecast'!L24</f>
        <v>0.12</v>
      </c>
      <c r="M24" s="8"/>
    </row>
    <row r="25" spans="1:13" ht="15.75" thickBot="1">
      <c r="A25" s="7"/>
      <c r="B25" s="1" t="s">
        <v>5</v>
      </c>
      <c r="C25" s="20">
        <f t="shared" si="3"/>
        <v>88.625</v>
      </c>
      <c r="D25" s="21">
        <f>'W1 Forecast'!D25</f>
        <v>12</v>
      </c>
      <c r="E25" s="22">
        <f>'W1 Forecast'!E25</f>
        <v>1.4999999999999999E-2</v>
      </c>
      <c r="F25" s="23">
        <f t="shared" si="4"/>
        <v>1063.5</v>
      </c>
      <c r="G25" s="8"/>
      <c r="H25" s="725" t="s">
        <v>241</v>
      </c>
      <c r="I25" s="469">
        <f t="shared" si="5"/>
        <v>0</v>
      </c>
      <c r="J25" s="728">
        <f>'W1 Forecast'!J25</f>
        <v>0</v>
      </c>
      <c r="K25" s="469">
        <f t="shared" si="6"/>
        <v>0</v>
      </c>
      <c r="L25" s="470">
        <f>'W1 Forecast'!L25</f>
        <v>0</v>
      </c>
      <c r="M25" s="8"/>
    </row>
    <row r="26" spans="1:13" ht="15.75" thickBot="1">
      <c r="A26" s="7"/>
      <c r="B26" s="1" t="s">
        <v>162</v>
      </c>
      <c r="C26" s="20"/>
      <c r="D26" s="21">
        <f>'W1 Forecast'!D26</f>
        <v>0</v>
      </c>
      <c r="E26" s="22">
        <f>'W1 Forecast'!E26</f>
        <v>0</v>
      </c>
      <c r="F26" s="23">
        <f t="shared" si="4"/>
        <v>0</v>
      </c>
      <c r="G26" s="8"/>
      <c r="H26" s="216" t="s">
        <v>0</v>
      </c>
      <c r="I26" s="467">
        <f>+I15</f>
        <v>70900</v>
      </c>
      <c r="J26" s="468">
        <f>+I26/I26</f>
        <v>1</v>
      </c>
      <c r="K26" s="469">
        <f>SUM(K20:K25)</f>
        <v>19665.107599999999</v>
      </c>
      <c r="L26" s="470">
        <f>+K26/I26</f>
        <v>0.277364</v>
      </c>
      <c r="M26" s="8"/>
    </row>
    <row r="27" spans="1:13" ht="15.75" thickBot="1">
      <c r="A27" s="7"/>
      <c r="B27" s="1"/>
      <c r="C27" s="257"/>
      <c r="D27" s="258">
        <f>'W1 Forecast'!D27</f>
        <v>0</v>
      </c>
      <c r="E27" s="259"/>
      <c r="F27" s="260">
        <f t="shared" si="4"/>
        <v>0</v>
      </c>
      <c r="G27" s="8"/>
      <c r="M27" s="8"/>
    </row>
    <row r="28" spans="1:13" ht="15.75" thickBot="1">
      <c r="A28" s="7"/>
      <c r="B28" s="10" t="s">
        <v>6</v>
      </c>
      <c r="C28" s="261">
        <f>SUM(C20:C27)</f>
        <v>443.52082922824303</v>
      </c>
      <c r="D28" s="262">
        <f>+F28/C28</f>
        <v>20.40249161633686</v>
      </c>
      <c r="E28" s="263">
        <f>SUM(E19:E27)</f>
        <v>0.12762947813822287</v>
      </c>
      <c r="F28" s="264">
        <f>SUM(F19:F27)</f>
        <v>9048.93</v>
      </c>
      <c r="G28" s="8"/>
      <c r="H28" s="216" t="s">
        <v>30</v>
      </c>
      <c r="I28" s="24">
        <f t="shared" ref="I28:I35" si="7">+$I$20*J28</f>
        <v>1062.2379800000001</v>
      </c>
      <c r="J28" s="25">
        <f>'W1 Forecast'!J28</f>
        <v>2.3E-2</v>
      </c>
      <c r="M28" s="8"/>
    </row>
    <row r="29" spans="1:13">
      <c r="A29" s="7"/>
      <c r="B29" s="3" t="s">
        <v>16</v>
      </c>
      <c r="C29" s="255" t="s">
        <v>19</v>
      </c>
      <c r="D29" s="256"/>
      <c r="E29" s="319">
        <f>F29/I15</f>
        <v>3.2656981664315937E-2</v>
      </c>
      <c r="F29" s="402">
        <f>'W1 Forecast'!F29</f>
        <v>2315.38</v>
      </c>
      <c r="G29" s="8"/>
      <c r="H29" s="216" t="s">
        <v>31</v>
      </c>
      <c r="I29" s="26">
        <f t="shared" si="7"/>
        <v>9236.8520000000008</v>
      </c>
      <c r="J29" s="27">
        <f>'W1 Forecast'!J29</f>
        <v>0.2</v>
      </c>
      <c r="M29" s="8"/>
    </row>
    <row r="30" spans="1:13">
      <c r="A30" s="7"/>
      <c r="B30" s="1" t="s">
        <v>7</v>
      </c>
      <c r="C30" s="20">
        <f t="shared" ref="C30:C36" si="8">+F30/D30</f>
        <v>361.16771159874611</v>
      </c>
      <c r="D30" s="21">
        <f>'W1 Forecast'!D30</f>
        <v>6.38</v>
      </c>
      <c r="E30" s="22">
        <f>'W1 Forecast'!E30</f>
        <v>3.2500000000000001E-2</v>
      </c>
      <c r="F30" s="23">
        <f t="shared" ref="F30:F36" si="9">+E30*$I$15</f>
        <v>2304.25</v>
      </c>
      <c r="G30" s="8"/>
      <c r="H30" s="216" t="s">
        <v>32</v>
      </c>
      <c r="I30" s="26">
        <f t="shared" si="7"/>
        <v>69.276390000000006</v>
      </c>
      <c r="J30" s="27">
        <f>'W1 Forecast'!J30</f>
        <v>1.5E-3</v>
      </c>
      <c r="M30" s="8"/>
    </row>
    <row r="31" spans="1:13" s="2" customFormat="1">
      <c r="A31" s="9"/>
      <c r="B31" s="1" t="s">
        <v>8</v>
      </c>
      <c r="C31" s="20">
        <f t="shared" si="8"/>
        <v>59.083333333333336</v>
      </c>
      <c r="D31" s="21">
        <f>'W1 Forecast'!D31</f>
        <v>12</v>
      </c>
      <c r="E31" s="22">
        <f>'W1 Forecast'!E31</f>
        <v>0.01</v>
      </c>
      <c r="F31" s="23">
        <f t="shared" si="9"/>
        <v>709</v>
      </c>
      <c r="G31" s="11"/>
      <c r="H31" s="216" t="s">
        <v>33</v>
      </c>
      <c r="I31" s="26">
        <f t="shared" si="7"/>
        <v>785.13242000000014</v>
      </c>
      <c r="J31" s="27">
        <f>'W1 Forecast'!J31</f>
        <v>1.7000000000000001E-2</v>
      </c>
      <c r="K31"/>
      <c r="L31"/>
      <c r="M31" s="11"/>
    </row>
    <row r="32" spans="1:13" s="2" customFormat="1">
      <c r="A32" s="9"/>
      <c r="B32" s="1" t="s">
        <v>171</v>
      </c>
      <c r="C32" s="20">
        <f t="shared" si="8"/>
        <v>56.060465116279076</v>
      </c>
      <c r="D32" s="21">
        <f>'W1 Forecast'!D32</f>
        <v>21.5</v>
      </c>
      <c r="E32" s="22">
        <f>'W1 Forecast'!E32</f>
        <v>1.7000000000000001E-2</v>
      </c>
      <c r="F32" s="23">
        <f t="shared" si="9"/>
        <v>1205.3000000000002</v>
      </c>
      <c r="G32" s="11"/>
      <c r="H32" s="216" t="s">
        <v>34</v>
      </c>
      <c r="I32" s="26">
        <f t="shared" si="7"/>
        <v>1385.5278000000001</v>
      </c>
      <c r="J32" s="27">
        <f>'W1 Forecast'!J32</f>
        <v>0.03</v>
      </c>
      <c r="M32" s="11"/>
    </row>
    <row r="33" spans="1:13" s="2" customFormat="1">
      <c r="A33" s="9"/>
      <c r="B33" s="1" t="s">
        <v>162</v>
      </c>
      <c r="C33" s="20">
        <f t="shared" si="8"/>
        <v>0</v>
      </c>
      <c r="D33" s="21">
        <f>'W1 Forecast'!D33</f>
        <v>18</v>
      </c>
      <c r="E33" s="22"/>
      <c r="F33" s="23">
        <f t="shared" si="9"/>
        <v>0</v>
      </c>
      <c r="G33" s="11"/>
      <c r="H33" s="216"/>
      <c r="I33" s="26"/>
      <c r="J33" s="27"/>
      <c r="M33" s="11"/>
    </row>
    <row r="34" spans="1:13">
      <c r="A34" s="7"/>
      <c r="B34" s="1" t="s">
        <v>9</v>
      </c>
      <c r="C34" s="20">
        <f t="shared" si="8"/>
        <v>76.572000000000003</v>
      </c>
      <c r="D34" s="21">
        <f>'W1 Forecast'!D34</f>
        <v>10</v>
      </c>
      <c r="E34" s="22">
        <f>'W1 Forecast'!E34</f>
        <v>1.0800000000000001E-2</v>
      </c>
      <c r="F34" s="23">
        <f t="shared" si="9"/>
        <v>765.72</v>
      </c>
      <c r="G34" s="8"/>
      <c r="H34" s="216" t="s">
        <v>35</v>
      </c>
      <c r="I34" s="26">
        <f t="shared" si="7"/>
        <v>1062.2379800000001</v>
      </c>
      <c r="J34" s="27">
        <f>'W1 Forecast'!J34</f>
        <v>2.3E-2</v>
      </c>
      <c r="K34" s="2"/>
      <c r="L34" s="2"/>
      <c r="M34" s="8"/>
    </row>
    <row r="35" spans="1:13" ht="15.75" thickBot="1">
      <c r="A35" s="7"/>
      <c r="B35" s="1" t="s">
        <v>286</v>
      </c>
      <c r="C35" s="20">
        <f t="shared" si="8"/>
        <v>44.3125</v>
      </c>
      <c r="D35" s="21">
        <f>'W1 Forecast'!D35</f>
        <v>12</v>
      </c>
      <c r="E35" s="22">
        <f>'W1 Forecast'!E35</f>
        <v>7.4999999999999997E-3</v>
      </c>
      <c r="F35" s="23">
        <f t="shared" si="9"/>
        <v>531.75</v>
      </c>
      <c r="G35" s="8"/>
      <c r="H35" s="216" t="s">
        <v>36</v>
      </c>
      <c r="I35" s="28">
        <f t="shared" si="7"/>
        <v>1847.3704</v>
      </c>
      <c r="J35" s="29">
        <f>'W1 Forecast'!J35</f>
        <v>0.04</v>
      </c>
      <c r="M35" s="8"/>
    </row>
    <row r="36" spans="1:13" ht="15.75" thickBot="1">
      <c r="A36" s="7"/>
      <c r="B36" s="1" t="s">
        <v>287</v>
      </c>
      <c r="C36" s="20">
        <f t="shared" si="8"/>
        <v>23.633333333333336</v>
      </c>
      <c r="D36" s="21">
        <f>'W1 Forecast'!D36</f>
        <v>12</v>
      </c>
      <c r="E36" s="22">
        <f>'W1 Forecast'!E36</f>
        <v>4.0000000000000001E-3</v>
      </c>
      <c r="F36" s="23">
        <f t="shared" si="9"/>
        <v>283.60000000000002</v>
      </c>
      <c r="G36" s="8"/>
      <c r="H36" s="216" t="s">
        <v>0</v>
      </c>
      <c r="I36" s="671">
        <f>SUM(I28:I35)</f>
        <v>15448.634970000001</v>
      </c>
      <c r="J36" s="670">
        <f>SUM(J28:J35)</f>
        <v>0.33449999999999996</v>
      </c>
      <c r="M36" s="8"/>
    </row>
    <row r="37" spans="1:13" ht="15.75" thickBot="1">
      <c r="A37" s="7"/>
      <c r="B37" s="1" t="s">
        <v>288</v>
      </c>
      <c r="C37" s="393"/>
      <c r="D37" s="258">
        <f>'W1 Forecast'!D37</f>
        <v>13</v>
      </c>
      <c r="E37" s="259">
        <f>'W1 Forecast'!E37</f>
        <v>3.0000000000000001E-3</v>
      </c>
      <c r="F37" s="394"/>
      <c r="G37" s="8"/>
      <c r="M37" s="8"/>
    </row>
    <row r="38" spans="1:13" ht="15.75" thickBot="1">
      <c r="A38" s="7"/>
      <c r="B38" s="10" t="s">
        <v>11</v>
      </c>
      <c r="C38" s="252">
        <f>SUM(C30:C37)</f>
        <v>620.82934338169184</v>
      </c>
      <c r="D38" s="139">
        <f>+F38/C38</f>
        <v>13.071224945324179</v>
      </c>
      <c r="E38" s="253">
        <f>SUM(E29:E37)</f>
        <v>0.11745698166431595</v>
      </c>
      <c r="F38" s="254">
        <f>SUM(F29:F37)</f>
        <v>8115.0000000000009</v>
      </c>
      <c r="G38" s="8"/>
      <c r="M38" s="8"/>
    </row>
    <row r="39" spans="1:13" ht="15.75" thickBot="1">
      <c r="A39" s="7"/>
      <c r="B39" s="10" t="s">
        <v>18</v>
      </c>
      <c r="C39" s="138">
        <f>+C38+C28</f>
        <v>1064.3501726099348</v>
      </c>
      <c r="D39" s="244">
        <f>+F39/C39</f>
        <v>16.126205868799413</v>
      </c>
      <c r="E39" s="250">
        <f>+E38+E28</f>
        <v>0.24508645980253882</v>
      </c>
      <c r="F39" s="251">
        <f>+F38+F28</f>
        <v>17163.93</v>
      </c>
      <c r="G39" s="8"/>
      <c r="M39" s="8"/>
    </row>
    <row r="40" spans="1:13">
      <c r="A40" s="7"/>
      <c r="G40" s="8"/>
      <c r="H40" s="205" t="s">
        <v>163</v>
      </c>
      <c r="I40" s="206">
        <f>+I15*J40</f>
        <v>737.36</v>
      </c>
      <c r="J40" s="207">
        <f>'W1 Forecast'!J40</f>
        <v>1.04E-2</v>
      </c>
      <c r="M40" s="8"/>
    </row>
    <row r="41" spans="1:13">
      <c r="A41" s="7"/>
      <c r="E41" s="265"/>
      <c r="F41" s="267"/>
      <c r="G41" s="8"/>
      <c r="H41" s="208" t="s">
        <v>164</v>
      </c>
      <c r="I41" s="209">
        <f>+I15*J41</f>
        <v>531.75</v>
      </c>
      <c r="J41" s="210">
        <f>'W1 Forecast'!J41</f>
        <v>7.4999999999999997E-3</v>
      </c>
      <c r="M41" s="8"/>
    </row>
    <row r="42" spans="1:13">
      <c r="A42" s="7"/>
      <c r="G42" s="8"/>
      <c r="H42" s="208" t="s">
        <v>165</v>
      </c>
      <c r="I42" s="209">
        <f>+I15*J42</f>
        <v>985.51</v>
      </c>
      <c r="J42" s="210">
        <f>'W1 Forecast'!J42</f>
        <v>1.3899999999999999E-2</v>
      </c>
      <c r="M42" s="8"/>
    </row>
    <row r="43" spans="1:13">
      <c r="A43" s="7"/>
      <c r="B43" s="10"/>
      <c r="E43" s="265"/>
      <c r="F43" s="266"/>
      <c r="G43" s="8"/>
      <c r="H43" s="208" t="s">
        <v>166</v>
      </c>
      <c r="I43" s="209">
        <f>+I15*J43</f>
        <v>779.9</v>
      </c>
      <c r="J43" s="210">
        <f>'W1 Forecast'!J43</f>
        <v>1.0999999999999999E-2</v>
      </c>
      <c r="M43" s="8"/>
    </row>
    <row r="44" spans="1:13" ht="15.75" thickBot="1">
      <c r="A44" s="12"/>
      <c r="B44" s="13"/>
      <c r="C44" s="14"/>
      <c r="D44" s="14"/>
      <c r="E44" s="14"/>
      <c r="F44" s="14"/>
      <c r="G44" s="15"/>
      <c r="H44" s="211" t="s">
        <v>167</v>
      </c>
      <c r="I44" s="212">
        <f>+I15*J44</f>
        <v>177.25</v>
      </c>
      <c r="J44" s="213">
        <f>'W1 Forecast'!J44</f>
        <v>2.5000000000000001E-3</v>
      </c>
      <c r="K44" s="12"/>
      <c r="L44" s="14"/>
      <c r="M44" s="15"/>
    </row>
    <row r="45" spans="1:13" ht="15.75" thickBot="1">
      <c r="E45" s="265"/>
      <c r="F45" s="266"/>
    </row>
    <row r="46" spans="1:13" ht="15.75">
      <c r="B46" s="431" t="s">
        <v>201</v>
      </c>
      <c r="C46" s="434" t="s">
        <v>13</v>
      </c>
      <c r="D46" s="429" t="s">
        <v>12</v>
      </c>
      <c r="E46" s="446"/>
      <c r="F46" s="447"/>
      <c r="G46" s="446"/>
      <c r="H46" s="428"/>
      <c r="I46" s="428"/>
    </row>
    <row r="47" spans="1:13">
      <c r="B47" s="653" t="s">
        <v>244</v>
      </c>
      <c r="C47" s="488">
        <f>'W1 Forecast'!C47</f>
        <v>5.0000000000000001E-4</v>
      </c>
      <c r="D47" s="442">
        <f>$I$15*C47</f>
        <v>35.450000000000003</v>
      </c>
      <c r="E47" s="448"/>
      <c r="F47" s="449"/>
      <c r="G47" s="450"/>
      <c r="H47" s="428"/>
      <c r="I47" s="428"/>
    </row>
    <row r="48" spans="1:13">
      <c r="B48" s="653" t="s">
        <v>245</v>
      </c>
      <c r="C48" s="488">
        <f>'W1 Forecast'!C48</f>
        <v>0</v>
      </c>
      <c r="D48" s="442">
        <f t="shared" ref="D48:D63" si="10">$I$15*C48</f>
        <v>0</v>
      </c>
      <c r="E48" s="448"/>
      <c r="F48" s="449"/>
      <c r="G48" s="450"/>
      <c r="H48" s="428"/>
      <c r="I48" s="428"/>
    </row>
    <row r="49" spans="1:18">
      <c r="B49" s="653" t="s">
        <v>246</v>
      </c>
      <c r="C49" s="488">
        <f>'W1 Forecast'!C49</f>
        <v>3.7000000000000002E-3</v>
      </c>
      <c r="D49" s="442">
        <f t="shared" si="10"/>
        <v>262.33</v>
      </c>
      <c r="E49" s="448"/>
      <c r="F49" s="449"/>
      <c r="G49" s="450"/>
      <c r="H49" s="428"/>
      <c r="I49" s="428"/>
    </row>
    <row r="50" spans="1:18">
      <c r="A50" s="3"/>
      <c r="B50" s="653" t="s">
        <v>247</v>
      </c>
      <c r="C50" s="488">
        <f>'W1 Forecast'!C50</f>
        <v>3.5999999999999999E-3</v>
      </c>
      <c r="D50" s="442">
        <f t="shared" si="10"/>
        <v>255.23999999999998</v>
      </c>
      <c r="E50" s="448"/>
      <c r="F50" s="449"/>
      <c r="G50" s="450"/>
      <c r="H50" s="428"/>
      <c r="I50" s="428"/>
    </row>
    <row r="51" spans="1:18">
      <c r="A51" s="3"/>
      <c r="B51" s="653" t="s">
        <v>248</v>
      </c>
      <c r="C51" s="488">
        <f>'W1 Forecast'!C51</f>
        <v>4.4000000000000003E-3</v>
      </c>
      <c r="D51" s="442">
        <f t="shared" si="10"/>
        <v>311.96000000000004</v>
      </c>
      <c r="E51" s="448"/>
      <c r="F51" s="449"/>
      <c r="G51" s="450"/>
      <c r="H51" s="428"/>
      <c r="I51" s="428"/>
    </row>
    <row r="52" spans="1:18" s="417" customFormat="1">
      <c r="A52" s="10"/>
      <c r="B52" s="653" t="s">
        <v>249</v>
      </c>
      <c r="C52" s="488">
        <f>'W1 Forecast'!C52</f>
        <v>3.5000000000000001E-3</v>
      </c>
      <c r="D52" s="442">
        <f t="shared" si="10"/>
        <v>248.15</v>
      </c>
      <c r="E52" s="448"/>
      <c r="F52" s="449"/>
      <c r="G52" s="450"/>
      <c r="H52"/>
      <c r="I52"/>
      <c r="J52" s="420"/>
      <c r="K52" s="420"/>
      <c r="M52" s="420"/>
      <c r="N52" s="420"/>
      <c r="O52" s="420"/>
      <c r="P52" s="420"/>
      <c r="Q52" s="420"/>
      <c r="R52" s="420"/>
    </row>
    <row r="53" spans="1:18" s="417" customFormat="1">
      <c r="A53" s="10"/>
      <c r="B53" s="653" t="s">
        <v>250</v>
      </c>
      <c r="C53" s="488">
        <f>'W1 Forecast'!C53</f>
        <v>5.0000000000000001E-4</v>
      </c>
      <c r="D53" s="442">
        <f t="shared" si="10"/>
        <v>35.450000000000003</v>
      </c>
      <c r="E53" s="448"/>
      <c r="F53" s="449"/>
      <c r="G53" s="450"/>
      <c r="H53"/>
      <c r="I53"/>
      <c r="J53" s="418"/>
      <c r="K53" s="418"/>
      <c r="M53" s="418"/>
      <c r="N53" s="418"/>
      <c r="O53" s="418"/>
      <c r="P53" s="418"/>
      <c r="Q53" s="418"/>
      <c r="R53" s="418"/>
    </row>
    <row r="54" spans="1:18" s="417" customFormat="1">
      <c r="A54" s="10"/>
      <c r="B54" s="653" t="s">
        <v>251</v>
      </c>
      <c r="C54" s="488">
        <f>'W1 Forecast'!C54</f>
        <v>5.9999999999999995E-4</v>
      </c>
      <c r="D54" s="442">
        <f t="shared" si="10"/>
        <v>42.54</v>
      </c>
      <c r="E54" s="448"/>
      <c r="F54" s="449"/>
      <c r="G54" s="450"/>
      <c r="H54"/>
      <c r="I54"/>
      <c r="J54" s="418"/>
      <c r="K54" s="418"/>
      <c r="M54" s="418"/>
      <c r="N54" s="418"/>
      <c r="O54" s="418"/>
      <c r="P54" s="418"/>
      <c r="Q54" s="418"/>
      <c r="R54" s="418"/>
    </row>
    <row r="55" spans="1:18" s="417" customFormat="1">
      <c r="A55" s="10"/>
      <c r="B55" s="653" t="s">
        <v>252</v>
      </c>
      <c r="C55" s="488">
        <f>'W1 Forecast'!C55</f>
        <v>5.0000000000000001E-4</v>
      </c>
      <c r="D55" s="442">
        <f t="shared" si="10"/>
        <v>35.450000000000003</v>
      </c>
      <c r="E55" s="448"/>
      <c r="F55" s="449"/>
      <c r="G55" s="450"/>
      <c r="H55"/>
      <c r="I55"/>
      <c r="J55" s="418"/>
      <c r="K55" s="418"/>
      <c r="M55" s="418"/>
      <c r="N55" s="418"/>
      <c r="O55" s="418"/>
      <c r="P55" s="418"/>
      <c r="Q55" s="418"/>
      <c r="R55" s="418"/>
    </row>
    <row r="56" spans="1:18" s="417" customFormat="1">
      <c r="A56" s="10"/>
      <c r="B56" s="653" t="s">
        <v>205</v>
      </c>
      <c r="C56" s="488">
        <f>'W1 Forecast'!C56</f>
        <v>8.9999999999999998E-4</v>
      </c>
      <c r="D56" s="442">
        <f t="shared" si="10"/>
        <v>63.809999999999995</v>
      </c>
      <c r="E56" s="448"/>
      <c r="F56" s="449"/>
      <c r="G56" s="450"/>
      <c r="H56"/>
      <c r="I56"/>
      <c r="J56" s="418"/>
      <c r="K56" s="418"/>
      <c r="M56" s="418"/>
      <c r="N56" s="418"/>
      <c r="O56" s="418"/>
      <c r="P56" s="418"/>
      <c r="Q56" s="418"/>
      <c r="R56" s="418"/>
    </row>
    <row r="57" spans="1:18" s="417" customFormat="1">
      <c r="A57" s="10"/>
      <c r="B57" s="653" t="s">
        <v>253</v>
      </c>
      <c r="C57" s="488">
        <f>'W1 Forecast'!C57</f>
        <v>1E-3</v>
      </c>
      <c r="D57" s="442">
        <f t="shared" si="10"/>
        <v>70.900000000000006</v>
      </c>
      <c r="E57" s="448"/>
      <c r="F57" s="449"/>
      <c r="G57" s="450"/>
      <c r="H57"/>
      <c r="I57"/>
      <c r="J57" s="418"/>
      <c r="K57" s="418"/>
      <c r="M57" s="418"/>
      <c r="N57" s="418"/>
      <c r="O57" s="418"/>
      <c r="P57" s="418"/>
      <c r="Q57" s="418"/>
      <c r="R57" s="418"/>
    </row>
    <row r="58" spans="1:18" s="417" customFormat="1">
      <c r="A58" s="10"/>
      <c r="B58" s="653" t="s">
        <v>254</v>
      </c>
      <c r="C58" s="488">
        <f>'W1 Forecast'!C58</f>
        <v>5.0000000000000001E-4</v>
      </c>
      <c r="D58" s="442">
        <f t="shared" si="10"/>
        <v>35.450000000000003</v>
      </c>
      <c r="E58" s="448"/>
      <c r="F58" s="449"/>
      <c r="G58" s="450"/>
      <c r="H58"/>
      <c r="I58"/>
      <c r="J58" s="418"/>
      <c r="K58" s="418"/>
      <c r="M58" s="418"/>
      <c r="N58" s="418"/>
      <c r="O58" s="418"/>
      <c r="P58" s="418"/>
      <c r="Q58" s="418"/>
      <c r="R58" s="418"/>
    </row>
    <row r="59" spans="1:18" s="417" customFormat="1">
      <c r="A59" s="10"/>
      <c r="B59" s="653" t="s">
        <v>255</v>
      </c>
      <c r="C59" s="488">
        <f>'W1 Forecast'!C59</f>
        <v>5.0000000000000001E-4</v>
      </c>
      <c r="D59" s="442">
        <f t="shared" si="10"/>
        <v>35.450000000000003</v>
      </c>
      <c r="E59" s="448"/>
      <c r="F59" s="449"/>
      <c r="G59" s="450"/>
      <c r="H59"/>
      <c r="I59"/>
      <c r="J59" s="418"/>
      <c r="K59" s="418"/>
      <c r="M59" s="418"/>
      <c r="N59" s="418"/>
      <c r="O59" s="418"/>
      <c r="P59" s="418"/>
      <c r="Q59" s="418"/>
      <c r="R59" s="418"/>
    </row>
    <row r="60" spans="1:18" s="417" customFormat="1">
      <c r="A60" s="10"/>
      <c r="B60" s="653" t="s">
        <v>256</v>
      </c>
      <c r="C60" s="488">
        <f>'W1 Forecast'!C60</f>
        <v>1E-3</v>
      </c>
      <c r="D60" s="442">
        <f t="shared" si="10"/>
        <v>70.900000000000006</v>
      </c>
      <c r="E60" s="448"/>
      <c r="F60" s="449"/>
      <c r="G60" s="450"/>
      <c r="H60"/>
      <c r="I60"/>
      <c r="J60" s="418"/>
      <c r="K60" s="418"/>
      <c r="M60" s="418"/>
      <c r="N60" s="418"/>
      <c r="O60" s="418"/>
      <c r="P60" s="418"/>
      <c r="Q60" s="418"/>
      <c r="R60" s="418"/>
    </row>
    <row r="61" spans="1:18" s="417" customFormat="1">
      <c r="A61" s="10"/>
      <c r="B61" s="653" t="s">
        <v>257</v>
      </c>
      <c r="C61" s="488">
        <f>'W1 Forecast'!C61</f>
        <v>1.7399999999999999E-2</v>
      </c>
      <c r="D61" s="442">
        <f t="shared" si="10"/>
        <v>1233.6599999999999</v>
      </c>
      <c r="E61" s="448"/>
      <c r="F61" s="449"/>
      <c r="G61" s="450"/>
      <c r="H61"/>
      <c r="I61"/>
      <c r="J61" s="418"/>
      <c r="K61" s="418"/>
      <c r="M61" s="418"/>
      <c r="N61" s="418"/>
      <c r="O61" s="418"/>
      <c r="P61" s="418"/>
      <c r="Q61" s="418"/>
      <c r="R61" s="418"/>
    </row>
    <row r="62" spans="1:18" s="417" customFormat="1">
      <c r="A62" s="10"/>
      <c r="B62" s="653" t="s">
        <v>258</v>
      </c>
      <c r="C62" s="488">
        <f>'W1 Forecast'!C62</f>
        <v>3.0000000000000001E-3</v>
      </c>
      <c r="D62" s="442">
        <f t="shared" si="10"/>
        <v>212.70000000000002</v>
      </c>
      <c r="E62" s="448"/>
      <c r="F62" s="449"/>
      <c r="G62" s="450"/>
      <c r="H62"/>
      <c r="I62"/>
      <c r="J62" s="418"/>
      <c r="K62" s="418"/>
      <c r="M62" s="418"/>
      <c r="N62" s="418"/>
      <c r="O62" s="418"/>
      <c r="P62" s="418"/>
      <c r="Q62" s="418"/>
      <c r="R62" s="418"/>
    </row>
    <row r="63" spans="1:18" ht="15.75" thickBot="1">
      <c r="A63" s="419"/>
      <c r="B63" s="653" t="s">
        <v>259</v>
      </c>
      <c r="C63" s="504">
        <f>'W1 Forecast'!C63</f>
        <v>5.0000000000000001E-4</v>
      </c>
      <c r="D63" s="464">
        <f t="shared" si="10"/>
        <v>35.450000000000003</v>
      </c>
      <c r="E63" s="448"/>
      <c r="F63" s="449"/>
      <c r="G63" s="450"/>
      <c r="J63" s="420"/>
      <c r="K63" s="420"/>
      <c r="M63" s="420"/>
      <c r="N63" s="420"/>
      <c r="O63" s="420"/>
      <c r="P63" s="420"/>
      <c r="Q63" s="420"/>
      <c r="R63" s="420"/>
    </row>
    <row r="64" spans="1:18" ht="15.75" thickBot="1">
      <c r="A64" s="1"/>
      <c r="B64" s="430" t="s">
        <v>0</v>
      </c>
      <c r="C64" s="462">
        <f>D64/I15</f>
        <v>4.2099999999999999E-2</v>
      </c>
      <c r="D64" s="441">
        <f>SUM(D47:D63)</f>
        <v>2984.89</v>
      </c>
      <c r="E64" s="451"/>
      <c r="F64" s="452"/>
      <c r="G64" s="453"/>
      <c r="H64" s="428"/>
      <c r="I64" s="428"/>
      <c r="J64" s="421"/>
      <c r="K64" s="421"/>
      <c r="M64" s="421"/>
      <c r="N64" s="421"/>
      <c r="O64" s="421"/>
      <c r="P64" s="421"/>
      <c r="Q64" s="421"/>
      <c r="R64" s="422"/>
    </row>
    <row r="65" spans="1:18" ht="15.75" thickBot="1">
      <c r="A65" s="1"/>
      <c r="B65"/>
      <c r="C65" s="433"/>
      <c r="D65" s="8"/>
      <c r="E65" s="454"/>
      <c r="F65" s="449"/>
      <c r="J65" s="421"/>
      <c r="K65" s="421"/>
      <c r="M65" s="421"/>
      <c r="N65" s="421"/>
      <c r="O65" s="421"/>
      <c r="P65" s="421"/>
      <c r="Q65" s="421"/>
      <c r="R65" s="422"/>
    </row>
    <row r="66" spans="1:18">
      <c r="A66" s="1"/>
      <c r="B66" s="19" t="s">
        <v>210</v>
      </c>
      <c r="C66" s="473">
        <f>'W1 Forecast'!C66</f>
        <v>1.04E-2</v>
      </c>
      <c r="D66" s="466">
        <f>$I$15*C66</f>
        <v>737.36</v>
      </c>
      <c r="E66" s="454"/>
      <c r="F66" s="449"/>
      <c r="G66" s="450"/>
      <c r="J66" s="421"/>
      <c r="K66" s="421"/>
      <c r="M66" s="421"/>
      <c r="N66" s="421"/>
      <c r="O66" s="421"/>
      <c r="P66" s="421"/>
      <c r="Q66" s="421"/>
      <c r="R66" s="422"/>
    </row>
    <row r="67" spans="1:18">
      <c r="A67" s="1"/>
      <c r="B67" s="19" t="s">
        <v>211</v>
      </c>
      <c r="C67" s="436">
        <f>'W1 Forecast'!C67</f>
        <v>7.4999999999999997E-3</v>
      </c>
      <c r="D67" s="442">
        <f t="shared" ref="D67:D69" si="11">$I$15*C67</f>
        <v>531.75</v>
      </c>
      <c r="E67" s="454"/>
      <c r="F67" s="449"/>
      <c r="G67" s="450"/>
      <c r="J67" s="421"/>
      <c r="K67" s="421"/>
      <c r="M67" s="421"/>
      <c r="N67" s="421"/>
      <c r="O67" s="421"/>
      <c r="P67" s="421"/>
      <c r="Q67" s="421"/>
      <c r="R67" s="422"/>
    </row>
    <row r="68" spans="1:18">
      <c r="A68" s="1"/>
      <c r="B68" s="19" t="s">
        <v>212</v>
      </c>
      <c r="C68" s="436">
        <f>'W1 Forecast'!C68</f>
        <v>1.3899999999999999E-2</v>
      </c>
      <c r="D68" s="442">
        <f t="shared" si="11"/>
        <v>985.51</v>
      </c>
      <c r="E68" s="454"/>
      <c r="F68" s="449"/>
      <c r="G68" s="450"/>
      <c r="J68" s="421"/>
      <c r="K68" s="421"/>
      <c r="M68" s="421"/>
      <c r="N68" s="421"/>
      <c r="O68" s="421"/>
      <c r="P68" s="421"/>
      <c r="Q68" s="421"/>
      <c r="R68" s="422"/>
    </row>
    <row r="69" spans="1:18" ht="15.75" thickBot="1">
      <c r="A69" s="1"/>
      <c r="B69" s="19" t="s">
        <v>213</v>
      </c>
      <c r="C69" s="503">
        <f>'W1 Forecast'!C69</f>
        <v>0.04</v>
      </c>
      <c r="D69" s="464">
        <f t="shared" si="11"/>
        <v>2836</v>
      </c>
      <c r="E69" s="454"/>
      <c r="F69" s="449"/>
      <c r="G69" s="450"/>
      <c r="J69" s="421"/>
      <c r="K69" s="421"/>
      <c r="M69" s="421"/>
      <c r="N69" s="421"/>
      <c r="O69" s="421"/>
      <c r="P69" s="421"/>
      <c r="Q69" s="421"/>
      <c r="R69" s="422"/>
    </row>
    <row r="70" spans="1:18" ht="15.75" thickBot="1">
      <c r="A70" s="1"/>
      <c r="B70" s="430" t="s">
        <v>214</v>
      </c>
      <c r="C70" s="462">
        <f>D70/I15</f>
        <v>7.1800000000000003E-2</v>
      </c>
      <c r="D70" s="502">
        <f>SUM(D66:D69)</f>
        <v>5090.62</v>
      </c>
      <c r="E70" s="451"/>
      <c r="F70" s="452"/>
      <c r="G70" s="453"/>
      <c r="H70" s="428"/>
      <c r="I70" s="428"/>
      <c r="J70" s="421"/>
      <c r="K70" s="421"/>
      <c r="M70" s="421"/>
      <c r="N70" s="421"/>
      <c r="O70" s="421"/>
      <c r="P70" s="421"/>
      <c r="Q70" s="421"/>
      <c r="R70" s="422"/>
    </row>
    <row r="71" spans="1:18" ht="15.75" thickBot="1">
      <c r="A71" s="1"/>
      <c r="B71"/>
      <c r="C71" s="433"/>
      <c r="D71" s="8"/>
      <c r="F71" s="449"/>
      <c r="J71" s="421"/>
      <c r="K71" s="421"/>
      <c r="M71" s="421"/>
      <c r="N71" s="421"/>
      <c r="O71" s="421"/>
      <c r="P71" s="421"/>
      <c r="Q71" s="421"/>
      <c r="R71" s="422"/>
    </row>
    <row r="72" spans="1:18" ht="15.75">
      <c r="A72" s="419"/>
      <c r="B72" s="431" t="s">
        <v>215</v>
      </c>
      <c r="C72" s="434" t="s">
        <v>13</v>
      </c>
      <c r="D72" s="429" t="s">
        <v>12</v>
      </c>
      <c r="E72" s="446"/>
      <c r="F72" s="447"/>
      <c r="G72" s="446"/>
      <c r="H72" s="428"/>
      <c r="I72" s="428"/>
      <c r="J72" s="422"/>
      <c r="K72" s="422"/>
      <c r="M72" s="422"/>
      <c r="N72" s="422"/>
      <c r="O72" s="422"/>
      <c r="P72" s="422"/>
      <c r="Q72" s="422"/>
      <c r="R72" s="422"/>
    </row>
    <row r="73" spans="1:18">
      <c r="A73" s="1"/>
      <c r="B73" s="19" t="s">
        <v>216</v>
      </c>
      <c r="C73" s="444">
        <f>D73/I15</f>
        <v>2.746435119887165E-2</v>
      </c>
      <c r="D73" s="432">
        <f>'W1 Forecast'!D73</f>
        <v>1947.2225000000001</v>
      </c>
      <c r="E73" s="454"/>
      <c r="F73" s="463">
        <f>'W1 Forecast'!F73</f>
        <v>7788.89</v>
      </c>
      <c r="G73" s="463">
        <f>'W1 Forecast'!G73</f>
        <v>1947.2225000000001</v>
      </c>
      <c r="J73" s="421"/>
      <c r="K73" s="421"/>
      <c r="M73" s="421"/>
      <c r="N73" s="421"/>
      <c r="O73" s="421"/>
      <c r="P73" s="421"/>
      <c r="Q73" s="421"/>
      <c r="R73" s="422"/>
    </row>
    <row r="74" spans="1:18">
      <c r="A74" s="1"/>
      <c r="B74" s="19" t="s">
        <v>17</v>
      </c>
      <c r="C74" s="436">
        <f>D74/I15</f>
        <v>3.9329478138222851E-2</v>
      </c>
      <c r="D74" s="442">
        <f>'W1 Forecast'!D74</f>
        <v>2788.46</v>
      </c>
      <c r="E74" s="454"/>
      <c r="F74" s="449"/>
      <c r="G74" s="450"/>
      <c r="J74" s="421"/>
      <c r="K74" s="421"/>
      <c r="M74" s="421"/>
      <c r="N74" s="421"/>
      <c r="O74" s="421"/>
      <c r="P74" s="421"/>
      <c r="Q74" s="421"/>
      <c r="R74" s="422"/>
    </row>
    <row r="75" spans="1:18">
      <c r="A75" s="1"/>
      <c r="B75" s="19" t="s">
        <v>217</v>
      </c>
      <c r="C75" s="436">
        <f>'W1 Forecast'!C75</f>
        <v>8.8300000000000003E-2</v>
      </c>
      <c r="D75" s="442">
        <f>I15*C75</f>
        <v>6260.47</v>
      </c>
      <c r="E75" s="454"/>
      <c r="F75" s="449"/>
      <c r="G75" s="450"/>
      <c r="M75" s="421"/>
      <c r="N75" s="421"/>
      <c r="O75" s="421"/>
      <c r="P75" s="421"/>
      <c r="Q75" s="421"/>
      <c r="R75" s="422"/>
    </row>
    <row r="76" spans="1:18">
      <c r="A76" s="1"/>
      <c r="B76" s="19" t="s">
        <v>16</v>
      </c>
      <c r="C76" s="436">
        <f>D76/I15</f>
        <v>3.2656981664315937E-2</v>
      </c>
      <c r="D76" s="442">
        <f>'W1 Forecast'!D76</f>
        <v>2315.38</v>
      </c>
      <c r="E76" s="454"/>
      <c r="F76" s="449"/>
      <c r="M76" s="421"/>
      <c r="N76" s="421"/>
      <c r="O76" s="421"/>
      <c r="P76" s="421"/>
      <c r="Q76" s="421"/>
      <c r="R76" s="422"/>
    </row>
    <row r="77" spans="1:18">
      <c r="A77" s="1"/>
      <c r="B77" s="19" t="s">
        <v>218</v>
      </c>
      <c r="C77" s="436">
        <f>'W1 Forecast'!C77</f>
        <v>8.4800000000000014E-2</v>
      </c>
      <c r="D77" s="442">
        <f>I15*C77</f>
        <v>6012.3200000000006</v>
      </c>
      <c r="E77" s="454"/>
      <c r="F77" s="459"/>
      <c r="G77" s="450"/>
      <c r="M77" s="421"/>
      <c r="N77" s="421"/>
      <c r="O77" s="421"/>
      <c r="P77" s="421"/>
      <c r="Q77" s="421"/>
      <c r="R77" s="422"/>
    </row>
    <row r="78" spans="1:18">
      <c r="A78" s="1"/>
      <c r="B78" s="19" t="s">
        <v>219</v>
      </c>
      <c r="C78" s="444">
        <f>D78/I15</f>
        <v>0</v>
      </c>
      <c r="D78" s="445">
        <f>'W1 Forecast'!D78</f>
        <v>0</v>
      </c>
      <c r="E78" s="454"/>
      <c r="F78" s="463">
        <f>'W1 Forecast'!F78</f>
        <v>0</v>
      </c>
      <c r="G78" s="463">
        <f>'W1 Forecast'!G78</f>
        <v>0</v>
      </c>
      <c r="M78" s="421"/>
      <c r="N78" s="421"/>
      <c r="O78" s="421"/>
      <c r="P78" s="421"/>
      <c r="Q78" s="421"/>
      <c r="R78" s="422"/>
    </row>
    <row r="79" spans="1:18" ht="15.75" thickBot="1">
      <c r="A79" s="419"/>
      <c r="B79" s="19" t="s">
        <v>220</v>
      </c>
      <c r="C79" s="460">
        <f>D79/I15</f>
        <v>6.3733742242595204E-2</v>
      </c>
      <c r="D79" s="461">
        <f>'W1 Forecast'!D79</f>
        <v>4518.7223249999997</v>
      </c>
      <c r="E79" s="455" t="s">
        <v>220</v>
      </c>
      <c r="F79" s="449">
        <f>'W1 Forecast'!F79</f>
        <v>0.2525</v>
      </c>
      <c r="G79" s="426">
        <f>'W1 Forecast'!G79</f>
        <v>0</v>
      </c>
      <c r="H79" s="426">
        <f>'W1 Forecast'!H79</f>
        <v>0</v>
      </c>
      <c r="M79" s="422"/>
      <c r="N79" s="422"/>
      <c r="O79" s="422"/>
      <c r="P79" s="422"/>
      <c r="Q79" s="422"/>
      <c r="R79" s="422"/>
    </row>
    <row r="80" spans="1:18" ht="15.75" thickBot="1">
      <c r="A80" s="419"/>
      <c r="B80" s="430" t="s">
        <v>18</v>
      </c>
      <c r="C80" s="462">
        <f>D80/I15</f>
        <v>0.33628455324400564</v>
      </c>
      <c r="D80" s="441">
        <f>SUM(D73:D79)</f>
        <v>23842.574825</v>
      </c>
      <c r="E80" s="453"/>
      <c r="F80" s="452"/>
      <c r="G80" s="453"/>
      <c r="H80" s="428"/>
      <c r="I80" s="428"/>
      <c r="M80" s="422"/>
      <c r="N80" s="422"/>
      <c r="O80" s="422"/>
      <c r="P80" s="422"/>
      <c r="Q80" s="422"/>
      <c r="R80" s="422"/>
    </row>
    <row r="81" spans="1:11" ht="15.75" thickBot="1">
      <c r="A81" s="3"/>
      <c r="B81"/>
      <c r="C81" s="433"/>
      <c r="D81" s="8"/>
      <c r="F81" s="449"/>
    </row>
    <row r="82" spans="1:11">
      <c r="A82" s="3"/>
      <c r="B82" s="19" t="s">
        <v>221</v>
      </c>
      <c r="C82" s="437">
        <f>'W1 Forecast'!C82</f>
        <v>8.4099999999999994E-2</v>
      </c>
      <c r="D82" s="443">
        <f>I15*C82</f>
        <v>5962.69</v>
      </c>
      <c r="E82" s="456"/>
      <c r="F82" s="449"/>
      <c r="G82" s="450"/>
    </row>
    <row r="83" spans="1:11">
      <c r="A83" s="3"/>
      <c r="B83" s="19" t="s">
        <v>166</v>
      </c>
      <c r="C83" s="436">
        <f>'W1 Forecast'!C83</f>
        <v>1.0999999999999999E-2</v>
      </c>
      <c r="D83" s="442">
        <f>I15*C83</f>
        <v>779.9</v>
      </c>
      <c r="E83" s="456"/>
      <c r="F83" s="449"/>
      <c r="G83" s="450"/>
    </row>
    <row r="84" spans="1:11" ht="15.75" thickBot="1">
      <c r="A84" s="3"/>
      <c r="B84" s="19" t="s">
        <v>222</v>
      </c>
      <c r="C84" s="460">
        <f>D84/I15</f>
        <v>0.12782087447108603</v>
      </c>
      <c r="D84" s="440">
        <f>G85</f>
        <v>9062.5</v>
      </c>
      <c r="E84" s="456"/>
      <c r="F84" s="449" t="s">
        <v>222</v>
      </c>
      <c r="G84" s="426">
        <f>'W1 Forecast'!G84</f>
        <v>36250</v>
      </c>
      <c r="H84" t="s">
        <v>223</v>
      </c>
      <c r="I84" t="s">
        <v>223</v>
      </c>
      <c r="K84">
        <f>'W1 Forecast'!K84</f>
        <v>0</v>
      </c>
    </row>
    <row r="85" spans="1:11" ht="15.75" thickBot="1">
      <c r="A85" s="3"/>
      <c r="B85" s="430" t="s">
        <v>224</v>
      </c>
      <c r="C85" s="462">
        <f>D85/I15</f>
        <v>0.22292087447108605</v>
      </c>
      <c r="D85" s="441">
        <f>SUM(D82:D84)</f>
        <v>15805.09</v>
      </c>
      <c r="E85" s="451"/>
      <c r="F85" s="452"/>
      <c r="G85" s="427">
        <f>'W1 Forecast'!G85</f>
        <v>9062.5</v>
      </c>
      <c r="H85" s="428"/>
      <c r="I85" s="428"/>
    </row>
    <row r="86" spans="1:11">
      <c r="A86" s="3"/>
      <c r="B86"/>
      <c r="C86" s="433"/>
      <c r="D86" s="8"/>
      <c r="F86" s="449"/>
    </row>
    <row r="87" spans="1:11">
      <c r="A87" s="3"/>
      <c r="B87"/>
      <c r="C87" s="438" t="s">
        <v>13</v>
      </c>
      <c r="D87" s="439" t="s">
        <v>12</v>
      </c>
      <c r="E87" s="18"/>
      <c r="F87" s="457"/>
      <c r="G87" s="18"/>
    </row>
    <row r="88" spans="1:11" ht="15.75" thickBot="1">
      <c r="A88" s="3"/>
      <c r="B88" s="430" t="s">
        <v>225</v>
      </c>
      <c r="C88" s="435">
        <f>D88/I15</f>
        <v>4.9530572284908356E-2</v>
      </c>
      <c r="D88" s="465">
        <f>I15-G88</f>
        <v>3511.7175750000024</v>
      </c>
      <c r="E88" s="453"/>
      <c r="F88" s="458" t="s">
        <v>193</v>
      </c>
      <c r="G88" s="453">
        <f>D85+D80+D70+D64+K26</f>
        <v>67388.282424999998</v>
      </c>
      <c r="H88" s="428"/>
      <c r="I88" s="428"/>
    </row>
  </sheetData>
  <mergeCells count="7">
    <mergeCell ref="K17:L17"/>
    <mergeCell ref="F2:G2"/>
    <mergeCell ref="C5:I5"/>
    <mergeCell ref="C17:F17"/>
    <mergeCell ref="H17:J17"/>
    <mergeCell ref="F6:I6"/>
    <mergeCell ref="C6:E6"/>
  </mergeCells>
  <phoneticPr fontId="0" type="noConversion"/>
  <pageMargins left="0.15" right="0.14000000000000001" top="0.16" bottom="0.15" header="0.14000000000000001" footer="0.13"/>
  <pageSetup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R150"/>
  <sheetViews>
    <sheetView tabSelected="1" zoomScale="80" zoomScaleNormal="80" workbookViewId="0">
      <selection activeCell="Q23" sqref="Q23"/>
    </sheetView>
  </sheetViews>
  <sheetFormatPr defaultColWidth="12.5703125" defaultRowHeight="12.75"/>
  <cols>
    <col min="1" max="1" width="1.7109375" style="38" customWidth="1"/>
    <col min="2" max="3" width="12.5703125" style="38"/>
    <col min="4" max="4" width="10.7109375" style="37" customWidth="1"/>
    <col min="5" max="5" width="14.7109375" style="37" customWidth="1"/>
    <col min="6" max="6" width="12.28515625" style="38" customWidth="1"/>
    <col min="7" max="7" width="11.140625" style="38" customWidth="1"/>
    <col min="8" max="8" width="10.7109375" style="38" customWidth="1"/>
    <col min="9" max="9" width="12.28515625" style="38" customWidth="1"/>
    <col min="10" max="10" width="11.140625" style="38" customWidth="1"/>
    <col min="11" max="11" width="10.7109375" style="38" customWidth="1"/>
    <col min="12" max="12" width="11.28515625" style="38" customWidth="1"/>
    <col min="13" max="13" width="10.7109375" style="38" customWidth="1"/>
    <col min="14" max="14" width="11.28515625" style="38" customWidth="1"/>
    <col min="15" max="15" width="12" style="38" customWidth="1"/>
    <col min="16" max="16" width="10.7109375" style="38" customWidth="1"/>
    <col min="17" max="17" width="11" style="38" customWidth="1"/>
    <col min="18" max="16384" width="12.5703125" style="38"/>
  </cols>
  <sheetData>
    <row r="1" spans="2:17">
      <c r="B1" s="38" t="s">
        <v>19</v>
      </c>
      <c r="F1" s="1" t="s">
        <v>19</v>
      </c>
      <c r="G1" s="914" t="s">
        <v>19</v>
      </c>
      <c r="H1" s="914"/>
    </row>
    <row r="2" spans="2:17" ht="13.5" thickBot="1">
      <c r="E2" s="930" t="s">
        <v>41</v>
      </c>
      <c r="F2" s="930"/>
      <c r="G2" s="930"/>
      <c r="H2" s="930"/>
      <c r="I2" s="930"/>
      <c r="J2" s="930"/>
      <c r="K2" s="202"/>
      <c r="L2" s="202"/>
      <c r="M2" s="235" t="s">
        <v>59</v>
      </c>
      <c r="N2" s="236"/>
      <c r="O2" s="235" t="s">
        <v>49</v>
      </c>
      <c r="Q2" s="235" t="s">
        <v>51</v>
      </c>
    </row>
    <row r="3" spans="2:17" ht="13.5" thickBot="1">
      <c r="F3" s="39"/>
      <c r="G3" s="39"/>
      <c r="H3" s="39"/>
      <c r="L3" s="231" t="s">
        <v>175</v>
      </c>
      <c r="M3" s="268">
        <f>+E17*N3</f>
        <v>1027.0989540000003</v>
      </c>
      <c r="N3" s="269">
        <f>'W1 Cost &amp; Sales'!N3</f>
        <v>1.6200000000000003E-2</v>
      </c>
      <c r="O3" s="270">
        <f>'Entry Sheet '!F16+'Entry Sheet '!F18+'Entry Sheet '!F19+'Entry Sheet '!F20+'Entry Sheet '!F21+'Entry Sheet '!F28</f>
        <v>749.75</v>
      </c>
      <c r="P3" s="269">
        <f>+O3/E17</f>
        <v>1.1825491548499814E-2</v>
      </c>
      <c r="Q3" s="271">
        <f>+O3-M3</f>
        <v>-277.34895400000028</v>
      </c>
    </row>
    <row r="4" spans="2:17" ht="15.75" customHeight="1" thickBot="1">
      <c r="D4" s="1" t="s">
        <v>20</v>
      </c>
      <c r="E4" s="901" t="str">
        <f>'W1 Forecast'!F2</f>
        <v>Max Fish</v>
      </c>
      <c r="F4" s="902"/>
      <c r="H4" s="1" t="s">
        <v>42</v>
      </c>
      <c r="I4" s="164">
        <f>H17</f>
        <v>17658.18</v>
      </c>
      <c r="J4" s="165">
        <f>I4/E17</f>
        <v>0.27851504948567984</v>
      </c>
      <c r="L4" s="231" t="s">
        <v>176</v>
      </c>
      <c r="M4" s="272">
        <f>+E17*N4</f>
        <v>1642.0903030000002</v>
      </c>
      <c r="N4" s="273">
        <f>'W1 Cost &amp; Sales'!N4</f>
        <v>2.5899999999999999E-2</v>
      </c>
      <c r="O4" s="274">
        <f>'Entry Sheet '!F17+'Entry Sheet '!F22+'Entry Sheet '!F23+'Entry Sheet '!F24+'Entry Sheet '!F25+'Entry Sheet '!F26+'Entry Sheet '!F27+'Entry Sheet '!F29+'Entry Sheet '!F30+'Entry Sheet '!F31+'Entry Sheet '!F32</f>
        <v>2683.94</v>
      </c>
      <c r="P4" s="273">
        <f>+O4/E17</f>
        <v>4.2332657267996787E-2</v>
      </c>
      <c r="Q4" s="275">
        <f>+O4-M4</f>
        <v>1041.8496969999999</v>
      </c>
    </row>
    <row r="5" spans="2:17" ht="15.75" customHeight="1" thickBot="1">
      <c r="D5" s="1" t="s">
        <v>44</v>
      </c>
      <c r="E5" s="903">
        <f>'W2 Forecast'!J14</f>
        <v>44234</v>
      </c>
      <c r="F5" s="904"/>
      <c r="H5" s="1" t="s">
        <v>43</v>
      </c>
      <c r="I5" s="166">
        <f>+I50</f>
        <v>15653.920000000002</v>
      </c>
      <c r="J5" s="167">
        <f>I5/E17</f>
        <v>0.24690269911422771</v>
      </c>
      <c r="L5" s="231" t="s">
        <v>191</v>
      </c>
      <c r="M5" s="276">
        <f>+M4+M3</f>
        <v>2669.1892570000005</v>
      </c>
      <c r="N5" s="277">
        <f>+M5/E17</f>
        <v>4.2100000000000005E-2</v>
      </c>
      <c r="O5" s="278">
        <f>+O4+O3</f>
        <v>3433.69</v>
      </c>
      <c r="P5" s="277">
        <f>+O5/E17</f>
        <v>5.4158148816496603E-2</v>
      </c>
      <c r="Q5" s="279">
        <f>+O5-M5</f>
        <v>764.5007429999996</v>
      </c>
    </row>
    <row r="6" spans="2:17" ht="13.5" thickBot="1">
      <c r="D6" s="145">
        <f>'W1 Forecast'!E3</f>
        <v>2</v>
      </c>
      <c r="E6" s="144" t="s">
        <v>87</v>
      </c>
      <c r="F6" s="149">
        <f>'W2 Forecast'!G3</f>
        <v>2</v>
      </c>
      <c r="H6" s="1" t="s">
        <v>45</v>
      </c>
      <c r="I6" s="168">
        <f>+SUM(I4:I5)</f>
        <v>33312.100000000006</v>
      </c>
      <c r="J6" s="169">
        <f>I6/E17</f>
        <v>0.52541774859990764</v>
      </c>
      <c r="L6" s="231" t="s">
        <v>192</v>
      </c>
      <c r="M6" s="280">
        <f>+E17-M5</f>
        <v>60731.980743000007</v>
      </c>
      <c r="N6" s="281"/>
      <c r="O6" s="282"/>
      <c r="P6" s="281"/>
      <c r="Q6" s="282"/>
    </row>
    <row r="7" spans="2:17">
      <c r="H7" s="39"/>
      <c r="I7" s="1"/>
    </row>
    <row r="8" spans="2:17" ht="6.75" customHeight="1" thickBot="1">
      <c r="F8" s="40" t="s">
        <v>19</v>
      </c>
      <c r="G8" s="41" t="s">
        <v>19</v>
      </c>
      <c r="H8" s="41"/>
      <c r="I8" s="42"/>
      <c r="J8" s="43"/>
      <c r="K8" s="44"/>
      <c r="L8" s="37"/>
      <c r="M8" s="37"/>
    </row>
    <row r="9" spans="2:17" s="37" customFormat="1" ht="19.5" customHeight="1" thickBot="1">
      <c r="B9" s="915" t="s">
        <v>82</v>
      </c>
      <c r="C9" s="916"/>
      <c r="D9" s="1"/>
      <c r="E9" s="917" t="s">
        <v>19</v>
      </c>
      <c r="F9" s="918"/>
      <c r="G9" s="919"/>
      <c r="H9" s="920" t="s">
        <v>46</v>
      </c>
      <c r="I9" s="921"/>
      <c r="J9" s="921"/>
      <c r="K9" s="921"/>
      <c r="L9" s="921"/>
      <c r="M9" s="922"/>
      <c r="N9" s="923" t="s">
        <v>1</v>
      </c>
      <c r="O9" s="924"/>
      <c r="P9" s="924"/>
      <c r="Q9" s="925"/>
    </row>
    <row r="10" spans="2:17" s="37" customFormat="1" ht="19.5" customHeight="1" thickBot="1">
      <c r="B10" s="181" t="s">
        <v>83</v>
      </c>
      <c r="C10" s="182" t="s">
        <v>84</v>
      </c>
      <c r="D10" s="1"/>
      <c r="E10" s="183" t="s">
        <v>47</v>
      </c>
      <c r="F10" s="184" t="s">
        <v>48</v>
      </c>
      <c r="G10" s="749" t="s">
        <v>38</v>
      </c>
      <c r="H10" s="736" t="s">
        <v>49</v>
      </c>
      <c r="I10" s="185" t="s">
        <v>38</v>
      </c>
      <c r="J10" s="186" t="s">
        <v>50</v>
      </c>
      <c r="K10" s="187" t="s">
        <v>38</v>
      </c>
      <c r="L10" s="750" t="s">
        <v>51</v>
      </c>
      <c r="M10" s="187" t="s">
        <v>38</v>
      </c>
      <c r="N10" s="183" t="s">
        <v>47</v>
      </c>
      <c r="O10" s="184" t="s">
        <v>51</v>
      </c>
      <c r="P10" s="184" t="s">
        <v>80</v>
      </c>
      <c r="Q10" s="188" t="s">
        <v>51</v>
      </c>
    </row>
    <row r="11" spans="2:17" ht="17.45" customHeight="1" thickBot="1">
      <c r="B11" s="172">
        <f>B26</f>
        <v>4693.43</v>
      </c>
      <c r="C11" s="175">
        <f>C26</f>
        <v>3298.03</v>
      </c>
      <c r="D11" s="1" t="s">
        <v>29</v>
      </c>
      <c r="E11" s="170">
        <f>'Entry Sheet '!F8</f>
        <v>44769.16</v>
      </c>
      <c r="F11" s="171">
        <f>F26</f>
        <v>12421.290000000003</v>
      </c>
      <c r="G11" s="124">
        <f t="shared" ref="G11:G17" si="0">F11/E11</f>
        <v>0.27745193342917318</v>
      </c>
      <c r="H11" s="45">
        <f>+B11+F11-C11</f>
        <v>13816.69</v>
      </c>
      <c r="I11" s="125">
        <f t="shared" ref="I11:I17" si="1">H11/E11</f>
        <v>0.30862071122174284</v>
      </c>
      <c r="J11" s="45">
        <f>J26</f>
        <v>12471.89272</v>
      </c>
      <c r="K11" s="47">
        <f t="shared" ref="K11:K17" si="2">J11/E11</f>
        <v>0.27858223652174841</v>
      </c>
      <c r="L11" s="46">
        <f>H11-J11</f>
        <v>1344.7972800000007</v>
      </c>
      <c r="M11" s="47">
        <f t="shared" ref="M11:M17" si="3">L11/E11</f>
        <v>3.0038474699994384E-2</v>
      </c>
      <c r="N11" s="105">
        <f>+'W2 Forecast'!I20</f>
        <v>46184.26</v>
      </c>
      <c r="O11" s="106">
        <f t="shared" ref="O11:O16" si="4">+E11-N11</f>
        <v>-1415.0999999999985</v>
      </c>
      <c r="P11" s="107">
        <f>'W2 Forecast'!L20*'W2 Cost &amp; Sales'!E11</f>
        <v>14326.131200000002</v>
      </c>
      <c r="Q11" s="108">
        <f t="shared" ref="Q11:Q16" si="5">+H11-P11</f>
        <v>-509.44120000000112</v>
      </c>
    </row>
    <row r="12" spans="2:17" ht="17.45" customHeight="1">
      <c r="B12" s="173">
        <f>'W1 Cost &amp; Sales'!C12</f>
        <v>13825.76</v>
      </c>
      <c r="C12" s="180">
        <f>'Entry Sheet '!F114</f>
        <v>14304.32</v>
      </c>
      <c r="D12" s="1" t="s">
        <v>24</v>
      </c>
      <c r="E12" s="170">
        <f>'Entry Sheet '!F9</f>
        <v>10087.700000000001</v>
      </c>
      <c r="F12" s="49">
        <f>'Entry Sheet '!F96</f>
        <v>2191.2399999999998</v>
      </c>
      <c r="G12" s="62">
        <f t="shared" si="0"/>
        <v>0.21721898946241458</v>
      </c>
      <c r="H12" s="48">
        <f>+B12+F12-C12</f>
        <v>1712.6800000000003</v>
      </c>
      <c r="I12" s="51">
        <f t="shared" si="1"/>
        <v>0.16977903783815937</v>
      </c>
      <c r="J12" s="48">
        <f>'Entry Sheet '!F127</f>
        <v>1842.82</v>
      </c>
      <c r="K12" s="50">
        <f t="shared" si="2"/>
        <v>0.18267989730067308</v>
      </c>
      <c r="L12" s="52">
        <f>H12-J12</f>
        <v>-130.13999999999965</v>
      </c>
      <c r="M12" s="50">
        <f t="shared" si="3"/>
        <v>-1.2900859462513719E-2</v>
      </c>
      <c r="N12" s="105">
        <f>+'W2 Forecast'!I21</f>
        <v>7323.97</v>
      </c>
      <c r="O12" s="100">
        <f t="shared" si="4"/>
        <v>2763.7300000000005</v>
      </c>
      <c r="P12" s="107">
        <f>'W2 Forecast'!L21*'W2 Cost &amp; Sales'!E12</f>
        <v>1714.9090000000003</v>
      </c>
      <c r="Q12" s="102">
        <f t="shared" si="5"/>
        <v>-2.2290000000000418</v>
      </c>
    </row>
    <row r="13" spans="2:17" ht="17.45" customHeight="1">
      <c r="B13" s="173">
        <f>'W1 Cost &amp; Sales'!C13</f>
        <v>2284.71</v>
      </c>
      <c r="C13" s="177">
        <f>'Entry Sheet '!F115</f>
        <v>2641.15</v>
      </c>
      <c r="D13" s="1" t="s">
        <v>25</v>
      </c>
      <c r="E13" s="170">
        <f>'Entry Sheet '!F10</f>
        <v>1645.01</v>
      </c>
      <c r="F13" s="49">
        <f>'Entry Sheet '!F97</f>
        <v>807.72</v>
      </c>
      <c r="G13" s="62">
        <f t="shared" si="0"/>
        <v>0.49101221269171619</v>
      </c>
      <c r="H13" s="48">
        <f>+B13+F13-C13</f>
        <v>451.2800000000002</v>
      </c>
      <c r="I13" s="51">
        <f t="shared" si="1"/>
        <v>0.27433267882870027</v>
      </c>
      <c r="J13" s="48">
        <f>'Entry Sheet '!F128</f>
        <v>390.5</v>
      </c>
      <c r="K13" s="50">
        <f t="shared" si="2"/>
        <v>0.23738457516975581</v>
      </c>
      <c r="L13" s="52">
        <f>H13-J13</f>
        <v>60.7800000000002</v>
      </c>
      <c r="M13" s="50">
        <f t="shared" si="3"/>
        <v>3.6948103658944444E-2</v>
      </c>
      <c r="N13" s="105">
        <f>+'W2 Forecast'!I22</f>
        <v>3438.65</v>
      </c>
      <c r="O13" s="100">
        <f t="shared" si="4"/>
        <v>-1793.64</v>
      </c>
      <c r="P13" s="107">
        <f>'W2 Forecast'!L22*'W2 Cost &amp; Sales'!E13</f>
        <v>312.55189999999999</v>
      </c>
      <c r="Q13" s="102">
        <f t="shared" si="5"/>
        <v>138.72810000000021</v>
      </c>
    </row>
    <row r="14" spans="2:17" ht="17.45" customHeight="1">
      <c r="B14" s="173">
        <f>'W1 Cost &amp; Sales'!C14</f>
        <v>16157.19</v>
      </c>
      <c r="C14" s="177">
        <f>'Entry Sheet '!F116</f>
        <v>17174.150000000001</v>
      </c>
      <c r="D14" s="1" t="s">
        <v>26</v>
      </c>
      <c r="E14" s="170">
        <f>'Entry Sheet '!F11</f>
        <v>5957</v>
      </c>
      <c r="F14" s="49">
        <f>'Entry Sheet '!F98</f>
        <v>2482.94</v>
      </c>
      <c r="G14" s="62">
        <f t="shared" si="0"/>
        <v>0.41681047507134467</v>
      </c>
      <c r="H14" s="48">
        <f>+B14+F14-C14</f>
        <v>1465.9799999999996</v>
      </c>
      <c r="I14" s="51">
        <f t="shared" si="1"/>
        <v>0.24609367131106255</v>
      </c>
      <c r="J14" s="48">
        <f>'Entry Sheet '!F129</f>
        <v>1291.2</v>
      </c>
      <c r="K14" s="50">
        <f t="shared" si="2"/>
        <v>0.21675339936209503</v>
      </c>
      <c r="L14" s="52">
        <f>H14-J14</f>
        <v>174.77999999999952</v>
      </c>
      <c r="M14" s="50">
        <f t="shared" si="3"/>
        <v>2.934027194896752E-2</v>
      </c>
      <c r="N14" s="105">
        <f>+'W2 Forecast'!I23</f>
        <v>11939.56</v>
      </c>
      <c r="O14" s="100">
        <f t="shared" si="4"/>
        <v>-5982.5599999999995</v>
      </c>
      <c r="P14" s="107">
        <f>'W2 Forecast'!L23*'W2 Cost &amp; Sales'!E14</f>
        <v>1370.1100000000001</v>
      </c>
      <c r="Q14" s="102">
        <f t="shared" si="5"/>
        <v>95.869999999999436</v>
      </c>
    </row>
    <row r="15" spans="2:17" ht="17.45" customHeight="1">
      <c r="B15" s="173">
        <f>'W1 Cost &amp; Sales'!C15</f>
        <v>1262.33</v>
      </c>
      <c r="C15" s="178">
        <f>'Entry Sheet '!F117</f>
        <v>1383.74</v>
      </c>
      <c r="D15" s="1" t="s">
        <v>85</v>
      </c>
      <c r="E15" s="110">
        <f>'Entry Sheet '!F12</f>
        <v>842.3</v>
      </c>
      <c r="F15" s="49">
        <f>'Entry Sheet '!F99</f>
        <v>332.96</v>
      </c>
      <c r="G15" s="62">
        <f t="shared" si="0"/>
        <v>0.39529858720170963</v>
      </c>
      <c r="H15" s="48">
        <f>+B15+F15-C15</f>
        <v>211.54999999999995</v>
      </c>
      <c r="I15" s="51">
        <f t="shared" si="1"/>
        <v>0.25115754481776087</v>
      </c>
      <c r="J15" s="48">
        <f>'Entry Sheet '!F130</f>
        <v>146.32</v>
      </c>
      <c r="K15" s="50">
        <f t="shared" si="2"/>
        <v>0.17371482844592187</v>
      </c>
      <c r="L15" s="52">
        <f>H15-J15</f>
        <v>65.229999999999961</v>
      </c>
      <c r="M15" s="50">
        <f t="shared" si="3"/>
        <v>7.7442716371838971E-2</v>
      </c>
      <c r="N15" s="101">
        <f>+'W2 Forecast'!I24</f>
        <v>2013.5600000000002</v>
      </c>
      <c r="O15" s="100">
        <f t="shared" si="4"/>
        <v>-1171.2600000000002</v>
      </c>
      <c r="P15" s="107">
        <f>'W2 Forecast'!L24*'W2 Cost &amp; Sales'!E15</f>
        <v>101.07599999999999</v>
      </c>
      <c r="Q15" s="102">
        <f t="shared" si="5"/>
        <v>110.47399999999996</v>
      </c>
    </row>
    <row r="16" spans="2:17" ht="17.45" customHeight="1" thickBot="1">
      <c r="B16" s="194"/>
      <c r="C16" s="741"/>
      <c r="D16" s="1" t="s">
        <v>241</v>
      </c>
      <c r="E16" s="117">
        <f>'Entry Sheet '!F13</f>
        <v>100</v>
      </c>
      <c r="F16" s="731"/>
      <c r="G16" s="747"/>
      <c r="H16" s="732"/>
      <c r="I16" s="733"/>
      <c r="J16" s="732"/>
      <c r="K16" s="735"/>
      <c r="L16" s="734"/>
      <c r="M16" s="735"/>
      <c r="N16" s="737">
        <f>+'W2 Forecast'!I25</f>
        <v>0</v>
      </c>
      <c r="O16" s="103">
        <f t="shared" si="4"/>
        <v>100</v>
      </c>
      <c r="P16" s="738">
        <f>'W2 Forecast'!L25*'W2 Cost &amp; Sales'!E16</f>
        <v>0</v>
      </c>
      <c r="Q16" s="104">
        <f t="shared" si="5"/>
        <v>0</v>
      </c>
    </row>
    <row r="17" spans="2:17" s="37" customFormat="1" ht="19.5" customHeight="1" thickBot="1">
      <c r="B17" s="739">
        <f>SUM(B11:B16)</f>
        <v>38223.420000000006</v>
      </c>
      <c r="C17" s="740">
        <f>SUM(C11:C16)</f>
        <v>38801.39</v>
      </c>
      <c r="D17" s="1" t="s">
        <v>0</v>
      </c>
      <c r="E17" s="117">
        <f>SUM(E11:E16)</f>
        <v>63401.170000000006</v>
      </c>
      <c r="F17" s="117">
        <f>SUM(F11:F16)</f>
        <v>18236.150000000001</v>
      </c>
      <c r="G17" s="130">
        <f t="shared" si="0"/>
        <v>0.28763112731200385</v>
      </c>
      <c r="H17" s="117">
        <f>SUM(H11:H16)</f>
        <v>17658.18</v>
      </c>
      <c r="I17" s="119">
        <f t="shared" si="1"/>
        <v>0.27851504948567984</v>
      </c>
      <c r="J17" s="117">
        <f>SUM(J11:J16)</f>
        <v>16142.73272</v>
      </c>
      <c r="K17" s="118">
        <f t="shared" si="2"/>
        <v>0.25461253664561706</v>
      </c>
      <c r="L17" s="117">
        <f>SUM(L11:L16)</f>
        <v>1515.4472800000008</v>
      </c>
      <c r="M17" s="118">
        <f t="shared" si="3"/>
        <v>2.3902512840062742E-2</v>
      </c>
      <c r="N17" s="117">
        <f>SUM(N11:N16)</f>
        <v>70900</v>
      </c>
      <c r="O17" s="117">
        <f>SUM(O11:O16)</f>
        <v>-7498.8299999999981</v>
      </c>
      <c r="P17" s="117">
        <f>SUM(P11:P16)</f>
        <v>17824.778100000003</v>
      </c>
      <c r="Q17" s="740">
        <f>SUM(Q11:Q16)</f>
        <v>-166.59810000000155</v>
      </c>
    </row>
    <row r="18" spans="2:17" ht="15.75" customHeight="1" thickBot="1">
      <c r="B18" s="98"/>
      <c r="C18" s="98"/>
      <c r="D18" s="1"/>
      <c r="E18" s="65"/>
      <c r="F18" s="56"/>
      <c r="G18" s="57"/>
      <c r="H18" s="58"/>
      <c r="I18" s="59"/>
      <c r="J18" s="58"/>
      <c r="K18" s="57"/>
      <c r="L18" s="56"/>
      <c r="M18" s="57"/>
    </row>
    <row r="19" spans="2:17" ht="15.75" customHeight="1">
      <c r="B19" s="180">
        <f>'W1 Cost &amp; Sales'!C19</f>
        <v>1248.55</v>
      </c>
      <c r="C19" s="180">
        <f>'Entry Sheet '!F118</f>
        <v>1655.75</v>
      </c>
      <c r="E19" s="1" t="s">
        <v>30</v>
      </c>
      <c r="F19" s="45">
        <f>'Entry Sheet '!F100</f>
        <v>1578.72</v>
      </c>
      <c r="G19" s="60">
        <f>F19/$E$11</f>
        <v>3.526356089772513E-2</v>
      </c>
      <c r="H19" s="45">
        <f t="shared" ref="H19:H25" si="6">+B19+F19-C19</f>
        <v>1171.52</v>
      </c>
      <c r="I19" s="125">
        <f>H19/$E$11</f>
        <v>2.6168013873836361E-2</v>
      </c>
      <c r="J19" s="61">
        <f>'Entry Sheet '!F131</f>
        <v>724.45</v>
      </c>
      <c r="K19" s="47">
        <f>J19/$E$11</f>
        <v>1.6181898431866938E-2</v>
      </c>
      <c r="L19" s="45">
        <f t="shared" ref="L19:L26" si="7">H19-J19</f>
        <v>447.06999999999994</v>
      </c>
      <c r="M19" s="47">
        <f>L19/$E$11</f>
        <v>9.9861154419694249E-3</v>
      </c>
      <c r="O19" s="855" t="s">
        <v>300</v>
      </c>
    </row>
    <row r="20" spans="2:17" ht="15.75" customHeight="1">
      <c r="B20" s="177">
        <f>'W1 Cost &amp; Sales'!C20</f>
        <v>3209.07</v>
      </c>
      <c r="C20" s="177">
        <f>'Entry Sheet '!F119</f>
        <v>1512.34</v>
      </c>
      <c r="E20" s="1" t="s">
        <v>31</v>
      </c>
      <c r="F20" s="48">
        <f>'Entry Sheet '!F101</f>
        <v>6258.18</v>
      </c>
      <c r="G20" s="62">
        <f t="shared" ref="G20:G26" si="8">F20/$E$11</f>
        <v>0.13978774674351718</v>
      </c>
      <c r="H20" s="48">
        <f t="shared" si="6"/>
        <v>7954.91</v>
      </c>
      <c r="I20" s="51">
        <f t="shared" ref="I20:I26" si="9">H20/$E$11</f>
        <v>0.17768727400737469</v>
      </c>
      <c r="J20" s="52">
        <f>'Entry Sheet '!F132</f>
        <v>7208.72</v>
      </c>
      <c r="K20" s="50">
        <f t="shared" ref="K20:K26" si="10">J20/$E$11</f>
        <v>0.16101977343331883</v>
      </c>
      <c r="L20" s="48">
        <f t="shared" si="7"/>
        <v>746.1899999999996</v>
      </c>
      <c r="M20" s="50">
        <f t="shared" ref="M20:M26" si="11">L20/$E$11</f>
        <v>1.6667500574055881E-2</v>
      </c>
      <c r="O20" s="854">
        <f>SUM(L19:L21)</f>
        <v>1456.8899999999994</v>
      </c>
    </row>
    <row r="21" spans="2:17" ht="15.75" customHeight="1">
      <c r="B21" s="177">
        <f>'W1 Cost &amp; Sales'!C21</f>
        <v>235.81</v>
      </c>
      <c r="C21" s="177">
        <f>'Entry Sheet '!F120</f>
        <v>129.94</v>
      </c>
      <c r="E21" s="1" t="s">
        <v>32</v>
      </c>
      <c r="F21" s="48">
        <f>'Entry Sheet '!F102</f>
        <v>577.72</v>
      </c>
      <c r="G21" s="62">
        <f t="shared" si="8"/>
        <v>1.2904419024167529E-2</v>
      </c>
      <c r="H21" s="48">
        <f t="shared" si="6"/>
        <v>683.58999999999992</v>
      </c>
      <c r="I21" s="51">
        <f t="shared" si="9"/>
        <v>1.5269216576768468E-2</v>
      </c>
      <c r="J21" s="52">
        <f>'Entry Sheet '!F133</f>
        <v>419.96</v>
      </c>
      <c r="K21" s="50">
        <f t="shared" si="10"/>
        <v>9.3805646565626854E-3</v>
      </c>
      <c r="L21" s="48">
        <f t="shared" si="7"/>
        <v>263.62999999999994</v>
      </c>
      <c r="M21" s="50">
        <f t="shared" si="11"/>
        <v>5.8886519202057831E-3</v>
      </c>
    </row>
    <row r="22" spans="2:17" ht="15.75" customHeight="1">
      <c r="B22" s="177">
        <f>'W1 Cost &amp; Sales'!C22</f>
        <v>0</v>
      </c>
      <c r="C22" s="177">
        <f>'Entry Sheet '!F121</f>
        <v>0</v>
      </c>
      <c r="E22" s="1" t="s">
        <v>33</v>
      </c>
      <c r="F22" s="48">
        <f>'Entry Sheet '!F103</f>
        <v>960.3599999999999</v>
      </c>
      <c r="G22" s="62">
        <f t="shared" si="8"/>
        <v>2.1451374115574198E-2</v>
      </c>
      <c r="H22" s="48">
        <f t="shared" si="6"/>
        <v>960.3599999999999</v>
      </c>
      <c r="I22" s="51">
        <f t="shared" si="9"/>
        <v>2.1451374115574198E-2</v>
      </c>
      <c r="J22" s="52">
        <f>$E$11*K22</f>
        <v>940.15236000000016</v>
      </c>
      <c r="K22" s="824">
        <v>2.1000000000000001E-2</v>
      </c>
      <c r="L22" s="48">
        <f t="shared" si="7"/>
        <v>20.207639999999742</v>
      </c>
      <c r="M22" s="50">
        <f t="shared" si="11"/>
        <v>4.513741155741975E-4</v>
      </c>
    </row>
    <row r="23" spans="2:17" ht="15.75" customHeight="1">
      <c r="B23" s="177">
        <f>'W1 Cost &amp; Sales'!C23</f>
        <v>0</v>
      </c>
      <c r="C23" s="177">
        <f>'Entry Sheet '!F122</f>
        <v>0</v>
      </c>
      <c r="E23" s="1" t="s">
        <v>34</v>
      </c>
      <c r="F23" s="48">
        <f>'Entry Sheet '!F104</f>
        <v>1670.12</v>
      </c>
      <c r="G23" s="62">
        <f t="shared" si="8"/>
        <v>3.7305144880985033E-2</v>
      </c>
      <c r="H23" s="48">
        <f t="shared" si="6"/>
        <v>1670.12</v>
      </c>
      <c r="I23" s="51">
        <f t="shared" si="9"/>
        <v>3.7305144880985033E-2</v>
      </c>
      <c r="J23" s="52">
        <f>$E$11*K23</f>
        <v>1298.3056400000003</v>
      </c>
      <c r="K23" s="824">
        <v>2.9000000000000001E-2</v>
      </c>
      <c r="L23" s="48">
        <f t="shared" si="7"/>
        <v>371.81435999999962</v>
      </c>
      <c r="M23" s="50">
        <f t="shared" si="11"/>
        <v>8.3051448809850267E-3</v>
      </c>
    </row>
    <row r="24" spans="2:17" ht="15.75" customHeight="1">
      <c r="B24" s="177">
        <f>'W1 Cost &amp; Sales'!C24</f>
        <v>0</v>
      </c>
      <c r="C24" s="177">
        <f>'Entry Sheet '!F123</f>
        <v>0</v>
      </c>
      <c r="E24" s="1" t="s">
        <v>35</v>
      </c>
      <c r="F24" s="48">
        <f>'Entry Sheet '!F105</f>
        <v>185.1</v>
      </c>
      <c r="G24" s="62">
        <f t="shared" si="8"/>
        <v>4.1345426181773337E-3</v>
      </c>
      <c r="H24" s="48">
        <f t="shared" si="6"/>
        <v>185.1</v>
      </c>
      <c r="I24" s="51">
        <f t="shared" si="9"/>
        <v>4.1345426181773337E-3</v>
      </c>
      <c r="J24" s="52">
        <f>$E$11*K24</f>
        <v>895.3832000000001</v>
      </c>
      <c r="K24" s="824">
        <v>0.02</v>
      </c>
      <c r="L24" s="48">
        <f t="shared" si="7"/>
        <v>-710.28320000000008</v>
      </c>
      <c r="M24" s="50">
        <f t="shared" si="11"/>
        <v>-1.5865457381822667E-2</v>
      </c>
    </row>
    <row r="25" spans="2:17" ht="15.75" customHeight="1" thickBot="1">
      <c r="B25" s="176">
        <f>'W1 Cost &amp; Sales'!C25</f>
        <v>0</v>
      </c>
      <c r="C25" s="178">
        <f>'Entry Sheet '!F124</f>
        <v>0</v>
      </c>
      <c r="E25" s="1" t="s">
        <v>52</v>
      </c>
      <c r="F25" s="656">
        <f>'Entry Sheet '!F106</f>
        <v>1191.0900000000001</v>
      </c>
      <c r="G25" s="63">
        <f t="shared" si="8"/>
        <v>2.6605145149026697E-2</v>
      </c>
      <c r="H25" s="53">
        <f t="shared" si="6"/>
        <v>1191.0900000000001</v>
      </c>
      <c r="I25" s="126">
        <f t="shared" si="9"/>
        <v>2.6605145149026697E-2</v>
      </c>
      <c r="J25" s="52">
        <f>$E$11*K25</f>
        <v>984.92151999999999</v>
      </c>
      <c r="K25" s="825">
        <v>2.1999999999999999E-2</v>
      </c>
      <c r="L25" s="53">
        <f t="shared" si="7"/>
        <v>206.16848000000016</v>
      </c>
      <c r="M25" s="55">
        <f t="shared" si="11"/>
        <v>4.6051451490266996E-3</v>
      </c>
      <c r="O25" s="64"/>
    </row>
    <row r="26" spans="2:17" s="37" customFormat="1" ht="15.75" customHeight="1" thickBot="1">
      <c r="B26" s="189">
        <f>SUM(B19:B25)</f>
        <v>4693.43</v>
      </c>
      <c r="C26" s="190">
        <f>SUM(C19:C25)</f>
        <v>3298.03</v>
      </c>
      <c r="E26" s="1" t="s">
        <v>0</v>
      </c>
      <c r="F26" s="657">
        <f>SUM(F19:F25)</f>
        <v>12421.290000000003</v>
      </c>
      <c r="G26" s="655">
        <f t="shared" si="8"/>
        <v>0.27745193342917318</v>
      </c>
      <c r="H26" s="117">
        <f>SUM(H19:H25)</f>
        <v>13816.69</v>
      </c>
      <c r="I26" s="119">
        <f t="shared" si="9"/>
        <v>0.30862071122174284</v>
      </c>
      <c r="J26" s="120">
        <f>SUM(J19:J25)</f>
        <v>12471.89272</v>
      </c>
      <c r="K26" s="116">
        <f t="shared" si="10"/>
        <v>0.27858223652174841</v>
      </c>
      <c r="L26" s="112">
        <f t="shared" si="7"/>
        <v>1344.7972800000007</v>
      </c>
      <c r="M26" s="121">
        <f t="shared" si="11"/>
        <v>3.0038474699994384E-2</v>
      </c>
    </row>
    <row r="27" spans="2:17" ht="15.75" customHeight="1" thickBot="1">
      <c r="E27" s="1"/>
      <c r="F27" s="56"/>
      <c r="G27" s="57"/>
      <c r="H27" s="56"/>
      <c r="I27" s="59"/>
      <c r="J27" s="56"/>
      <c r="K27" s="57"/>
      <c r="L27" s="56"/>
      <c r="M27" s="57"/>
    </row>
    <row r="28" spans="2:17" ht="15.75" customHeight="1" thickBot="1">
      <c r="D28" s="1"/>
      <c r="E28" s="65"/>
      <c r="F28" s="931" t="s">
        <v>59</v>
      </c>
      <c r="G28" s="932"/>
      <c r="H28" s="932"/>
      <c r="I28" s="933" t="s">
        <v>81</v>
      </c>
      <c r="J28" s="934"/>
      <c r="K28" s="934"/>
      <c r="L28" s="934"/>
      <c r="M28" s="934"/>
      <c r="N28" s="935"/>
      <c r="O28" s="936" t="s">
        <v>51</v>
      </c>
      <c r="P28" s="937"/>
    </row>
    <row r="29" spans="2:17" ht="44.25" customHeight="1" thickBot="1">
      <c r="B29" s="913" t="s">
        <v>292</v>
      </c>
      <c r="C29" s="913"/>
      <c r="D29" s="913"/>
      <c r="E29" s="1"/>
      <c r="F29" s="241" t="s">
        <v>40</v>
      </c>
      <c r="G29" s="193" t="s">
        <v>15</v>
      </c>
      <c r="H29" s="242" t="s">
        <v>38</v>
      </c>
      <c r="I29" s="243" t="s">
        <v>56</v>
      </c>
      <c r="J29" s="191" t="s">
        <v>53</v>
      </c>
      <c r="K29" s="191" t="s">
        <v>54</v>
      </c>
      <c r="L29" s="191" t="s">
        <v>55</v>
      </c>
      <c r="M29" s="191" t="s">
        <v>57</v>
      </c>
      <c r="N29" s="192" t="s">
        <v>58</v>
      </c>
      <c r="O29" s="380" t="s">
        <v>60</v>
      </c>
      <c r="P29" s="381" t="s">
        <v>61</v>
      </c>
    </row>
    <row r="30" spans="2:17" ht="16.149999999999999" customHeight="1">
      <c r="B30" s="842" t="s">
        <v>293</v>
      </c>
      <c r="C30" s="843">
        <v>7360.61</v>
      </c>
      <c r="D30" s="844">
        <f>+C30/$E$17</f>
        <v>0.11609580706475919</v>
      </c>
      <c r="E30" s="1" t="s">
        <v>17</v>
      </c>
      <c r="F30" s="408">
        <f>H30*E17</f>
        <v>2493.5349294527505</v>
      </c>
      <c r="G30" s="237"/>
      <c r="H30" s="404">
        <f>'W2 Forecast'!E19</f>
        <v>3.9329478138222851E-2</v>
      </c>
      <c r="I30" s="405">
        <f>'W1 Forecast'!F19</f>
        <v>2788.46</v>
      </c>
      <c r="J30" s="238"/>
      <c r="K30" s="238"/>
      <c r="L30" s="238"/>
      <c r="M30" s="406">
        <f>+I30/E17</f>
        <v>4.3981207286868676E-2</v>
      </c>
      <c r="N30" s="239"/>
      <c r="O30" s="407">
        <f t="shared" ref="O30:O48" si="12">+I30-F30</f>
        <v>294.92507054724956</v>
      </c>
      <c r="P30" s="240"/>
    </row>
    <row r="31" spans="2:17" ht="15.6" customHeight="1">
      <c r="B31" s="845" t="s">
        <v>294</v>
      </c>
      <c r="C31" s="846"/>
      <c r="D31" s="847">
        <f t="shared" ref="D31:D37" si="13">+C31/$E$17</f>
        <v>0</v>
      </c>
      <c r="E31" s="1" t="s">
        <v>3</v>
      </c>
      <c r="F31" s="324">
        <f>H31*E17</f>
        <v>2536.0468000000001</v>
      </c>
      <c r="G31" s="325">
        <f t="shared" ref="G31:G36" si="14">F31/N31</f>
        <v>167.59433226584491</v>
      </c>
      <c r="H31" s="326">
        <f>+'W1 Forecast'!E20</f>
        <v>0.04</v>
      </c>
      <c r="I31" s="219">
        <f>'Entry Sheet '!F39+'Entry Sheet '!F41</f>
        <v>4224.87</v>
      </c>
      <c r="J31" s="218">
        <f>'Entry Sheet '!F38</f>
        <v>274.60000000000002</v>
      </c>
      <c r="K31" s="218">
        <f>'Entry Sheet '!F40</f>
        <v>4.5999999999999996</v>
      </c>
      <c r="L31" s="325">
        <f>+K31+J31</f>
        <v>279.20000000000005</v>
      </c>
      <c r="M31" s="330">
        <f t="shared" ref="M31:M38" si="15">+I31/$E$17</f>
        <v>6.6637098337459691E-2</v>
      </c>
      <c r="N31" s="332">
        <f>+I31/L31</f>
        <v>15.132055873925498</v>
      </c>
      <c r="O31" s="334">
        <f t="shared" si="12"/>
        <v>1688.8231999999998</v>
      </c>
      <c r="P31" s="332">
        <f>+L31-G31</f>
        <v>111.60566773415513</v>
      </c>
    </row>
    <row r="32" spans="2:17" ht="15.75" customHeight="1">
      <c r="B32" s="845" t="s">
        <v>295</v>
      </c>
      <c r="C32" s="846">
        <v>669.15</v>
      </c>
      <c r="D32" s="847">
        <f t="shared" si="13"/>
        <v>1.0554221633449349E-2</v>
      </c>
      <c r="E32" s="1" t="s">
        <v>168</v>
      </c>
      <c r="F32" s="324">
        <f>H32*E17</f>
        <v>855.91579500000012</v>
      </c>
      <c r="G32" s="325">
        <f t="shared" si="14"/>
        <v>42.857722875542699</v>
      </c>
      <c r="H32" s="326">
        <f>+'W1 Forecast'!E21</f>
        <v>1.35E-2</v>
      </c>
      <c r="I32" s="219">
        <f>'Entry Sheet '!F59+'Entry Sheet '!F61</f>
        <v>691</v>
      </c>
      <c r="J32" s="218">
        <f>'Entry Sheet '!F58</f>
        <v>34.6</v>
      </c>
      <c r="K32" s="218">
        <f>'Entry Sheet '!F60</f>
        <v>0</v>
      </c>
      <c r="L32" s="325">
        <f>+K32+J32</f>
        <v>34.6</v>
      </c>
      <c r="M32" s="330">
        <f t="shared" si="15"/>
        <v>1.0898852497517E-2</v>
      </c>
      <c r="N32" s="332">
        <f t="shared" ref="N32:N39" si="16">+I32/L32</f>
        <v>19.971098265895954</v>
      </c>
      <c r="O32" s="334">
        <f t="shared" si="12"/>
        <v>-164.91579500000012</v>
      </c>
      <c r="P32" s="332">
        <f t="shared" ref="P32:P39" si="17">+L32-G32</f>
        <v>-8.2577228755426972</v>
      </c>
    </row>
    <row r="33" spans="2:16" ht="15.75" customHeight="1">
      <c r="B33" s="845" t="s">
        <v>296</v>
      </c>
      <c r="C33" s="846"/>
      <c r="D33" s="847">
        <f t="shared" si="13"/>
        <v>0</v>
      </c>
      <c r="E33" s="1" t="s">
        <v>169</v>
      </c>
      <c r="F33" s="324">
        <f>H33*E17</f>
        <v>653.03205100000002</v>
      </c>
      <c r="G33" s="325" t="e">
        <f t="shared" si="14"/>
        <v>#DIV/0!</v>
      </c>
      <c r="H33" s="326">
        <f>+'W1 Forecast'!E22</f>
        <v>1.03E-2</v>
      </c>
      <c r="I33" s="219">
        <f>'Entry Sheet '!F55+'Entry Sheet '!F57</f>
        <v>0</v>
      </c>
      <c r="J33" s="218">
        <f>'Entry Sheet '!F54</f>
        <v>0</v>
      </c>
      <c r="K33" s="218">
        <f>'Entry Sheet '!F56</f>
        <v>0</v>
      </c>
      <c r="L33" s="325">
        <f>+K33+J33</f>
        <v>0</v>
      </c>
      <c r="M33" s="330">
        <f t="shared" si="15"/>
        <v>0</v>
      </c>
      <c r="N33" s="332" t="e">
        <f t="shared" si="16"/>
        <v>#DIV/0!</v>
      </c>
      <c r="O33" s="334">
        <f t="shared" si="12"/>
        <v>-653.03205100000002</v>
      </c>
      <c r="P33" s="332" t="e">
        <f t="shared" si="17"/>
        <v>#DIV/0!</v>
      </c>
    </row>
    <row r="34" spans="2:16" ht="15.75" customHeight="1">
      <c r="B34" s="845" t="s">
        <v>297</v>
      </c>
      <c r="C34" s="846">
        <v>5353.17</v>
      </c>
      <c r="D34" s="847">
        <f t="shared" si="13"/>
        <v>8.4433299890207064E-2</v>
      </c>
      <c r="E34" s="1" t="s">
        <v>4</v>
      </c>
      <c r="F34" s="324">
        <f>H34*E17</f>
        <v>285.30526500000002</v>
      </c>
      <c r="G34" s="325">
        <f t="shared" si="14"/>
        <v>21.786778291395443</v>
      </c>
      <c r="H34" s="326">
        <f>+'W1 Forecast'!E23</f>
        <v>4.4999999999999997E-3</v>
      </c>
      <c r="I34" s="219">
        <f>'Entry Sheet '!F51+'Entry Sheet '!F53</f>
        <v>674.41</v>
      </c>
      <c r="J34" s="218">
        <f>'Entry Sheet '!F50</f>
        <v>51.5</v>
      </c>
      <c r="K34" s="218">
        <f>'Entry Sheet '!F52</f>
        <v>0</v>
      </c>
      <c r="L34" s="325">
        <f t="shared" ref="L34:L47" si="18">+K34+J34</f>
        <v>51.5</v>
      </c>
      <c r="M34" s="330">
        <f t="shared" si="15"/>
        <v>1.0637185402099045E-2</v>
      </c>
      <c r="N34" s="332">
        <f t="shared" si="16"/>
        <v>13.095339805825242</v>
      </c>
      <c r="O34" s="334">
        <f t="shared" si="12"/>
        <v>389.10473499999995</v>
      </c>
      <c r="P34" s="332">
        <f t="shared" si="17"/>
        <v>29.713221708604557</v>
      </c>
    </row>
    <row r="35" spans="2:16" ht="15.75" customHeight="1">
      <c r="B35" s="845" t="s">
        <v>298</v>
      </c>
      <c r="C35" s="846"/>
      <c r="D35" s="847">
        <f t="shared" si="13"/>
        <v>0</v>
      </c>
      <c r="E35" s="1" t="s">
        <v>170</v>
      </c>
      <c r="F35" s="324">
        <f>H35*E17</f>
        <v>317.00585000000001</v>
      </c>
      <c r="G35" s="325" t="e">
        <f t="shared" si="14"/>
        <v>#DIV/0!</v>
      </c>
      <c r="H35" s="326">
        <f>+'W1 Forecast'!E24</f>
        <v>5.0000000000000001E-3</v>
      </c>
      <c r="I35" s="219">
        <f>'Entry Sheet '!F47+'Entry Sheet '!F49</f>
        <v>0</v>
      </c>
      <c r="J35" s="218">
        <f>'Entry Sheet '!F46</f>
        <v>0</v>
      </c>
      <c r="K35" s="218">
        <f>'Entry Sheet '!F48</f>
        <v>0</v>
      </c>
      <c r="L35" s="325">
        <f>+K35+J35</f>
        <v>0</v>
      </c>
      <c r="M35" s="330">
        <f t="shared" si="15"/>
        <v>0</v>
      </c>
      <c r="N35" s="332" t="e">
        <f t="shared" si="16"/>
        <v>#DIV/0!</v>
      </c>
      <c r="O35" s="334">
        <f t="shared" si="12"/>
        <v>-317.00585000000001</v>
      </c>
      <c r="P35" s="332" t="e">
        <f t="shared" si="17"/>
        <v>#DIV/0!</v>
      </c>
    </row>
    <row r="36" spans="2:16" ht="15.75" customHeight="1" thickBot="1">
      <c r="B36" s="848" t="s">
        <v>299</v>
      </c>
      <c r="C36" s="849"/>
      <c r="D36" s="850">
        <f t="shared" si="13"/>
        <v>0</v>
      </c>
      <c r="E36" s="1" t="s">
        <v>5</v>
      </c>
      <c r="F36" s="324">
        <f>H36*E17</f>
        <v>951.01755000000003</v>
      </c>
      <c r="G36" s="325">
        <f t="shared" si="14"/>
        <v>79.300534613003094</v>
      </c>
      <c r="H36" s="326">
        <f>+'W1 Forecast'!E25</f>
        <v>1.4999999999999999E-2</v>
      </c>
      <c r="I36" s="219">
        <f>'Entry Sheet '!F35+'Entry Sheet '!F37</f>
        <v>969</v>
      </c>
      <c r="J36" s="218">
        <f>'Entry Sheet '!F34</f>
        <v>80.8</v>
      </c>
      <c r="K36" s="218">
        <f>'Entry Sheet '!F36</f>
        <v>0</v>
      </c>
      <c r="L36" s="325">
        <f t="shared" si="18"/>
        <v>80.8</v>
      </c>
      <c r="M36" s="330">
        <f t="shared" si="15"/>
        <v>1.5283629623869716E-2</v>
      </c>
      <c r="N36" s="332">
        <f t="shared" si="16"/>
        <v>11.992574257425742</v>
      </c>
      <c r="O36" s="334">
        <f t="shared" si="12"/>
        <v>17.982449999999972</v>
      </c>
      <c r="P36" s="332">
        <f t="shared" si="17"/>
        <v>1.4994653869969028</v>
      </c>
    </row>
    <row r="37" spans="2:16" ht="15.75" customHeight="1" thickBot="1">
      <c r="B37" s="851" t="s">
        <v>0</v>
      </c>
      <c r="C37" s="852">
        <f>SUM(C30:C36)</f>
        <v>13382.93</v>
      </c>
      <c r="D37" s="853">
        <f t="shared" si="13"/>
        <v>0.21108332858841564</v>
      </c>
      <c r="E37" s="1" t="s">
        <v>162</v>
      </c>
      <c r="F37" s="324">
        <f>H37*E17</f>
        <v>0</v>
      </c>
      <c r="G37" s="325"/>
      <c r="H37" s="326">
        <f>+'W1 Forecast'!E26</f>
        <v>0</v>
      </c>
      <c r="I37" s="219">
        <f>'Entry Sheet '!F43+'Entry Sheet '!F45</f>
        <v>0</v>
      </c>
      <c r="J37" s="218">
        <f>'Entry Sheet '!F42</f>
        <v>0</v>
      </c>
      <c r="K37" s="218">
        <f>'Entry Sheet '!F44</f>
        <v>0</v>
      </c>
      <c r="L37" s="325">
        <f>+K37+J37</f>
        <v>0</v>
      </c>
      <c r="M37" s="330">
        <f t="shared" si="15"/>
        <v>0</v>
      </c>
      <c r="N37" s="332" t="e">
        <f t="shared" si="16"/>
        <v>#DIV/0!</v>
      </c>
      <c r="O37" s="334">
        <f t="shared" si="12"/>
        <v>0</v>
      </c>
      <c r="P37" s="332">
        <f t="shared" si="17"/>
        <v>0</v>
      </c>
    </row>
    <row r="38" spans="2:16" ht="15.75" customHeight="1" thickBot="1">
      <c r="D38" s="1"/>
      <c r="E38" s="1"/>
      <c r="F38" s="327">
        <f>H38*E17</f>
        <v>0</v>
      </c>
      <c r="G38" s="328">
        <v>0</v>
      </c>
      <c r="H38" s="329">
        <f>+'W1 Forecast'!E27</f>
        <v>0</v>
      </c>
      <c r="I38" s="226"/>
      <c r="J38" s="220"/>
      <c r="K38" s="220"/>
      <c r="L38" s="328">
        <f>+K38+J38</f>
        <v>0</v>
      </c>
      <c r="M38" s="331">
        <f t="shared" si="15"/>
        <v>0</v>
      </c>
      <c r="N38" s="333" t="e">
        <f t="shared" si="16"/>
        <v>#DIV/0!</v>
      </c>
      <c r="O38" s="335">
        <f t="shared" si="12"/>
        <v>0</v>
      </c>
      <c r="P38" s="333">
        <f t="shared" si="17"/>
        <v>0</v>
      </c>
    </row>
    <row r="39" spans="2:16" s="248" customFormat="1" ht="15.75" customHeight="1" thickBot="1">
      <c r="D39" s="247"/>
      <c r="E39" s="140" t="s">
        <v>6</v>
      </c>
      <c r="F39" s="336">
        <f>SUM(F30:F38)</f>
        <v>8091.8582404527515</v>
      </c>
      <c r="G39" s="337" t="e">
        <f>SUM(G31:G38)</f>
        <v>#DIV/0!</v>
      </c>
      <c r="H39" s="338">
        <f>SUM(H30:H38)</f>
        <v>0.12762947813822287</v>
      </c>
      <c r="I39" s="339">
        <f>SUM(I30:I38)</f>
        <v>9347.74</v>
      </c>
      <c r="J39" s="337">
        <f>SUM(J31:J38)</f>
        <v>441.50000000000006</v>
      </c>
      <c r="K39" s="337">
        <f>SUM(K31:K38)</f>
        <v>4.5999999999999996</v>
      </c>
      <c r="L39" s="337">
        <f>SUM(L31:L38)</f>
        <v>446.10000000000008</v>
      </c>
      <c r="M39" s="340">
        <f>+I39/E17</f>
        <v>0.14743797314781412</v>
      </c>
      <c r="N39" s="341">
        <f t="shared" si="16"/>
        <v>20.954360008966596</v>
      </c>
      <c r="O39" s="342">
        <f t="shared" si="12"/>
        <v>1255.8817595472483</v>
      </c>
      <c r="P39" s="392" t="e">
        <f t="shared" si="17"/>
        <v>#DIV/0!</v>
      </c>
    </row>
    <row r="40" spans="2:16" ht="15.75" customHeight="1">
      <c r="D40" s="1"/>
      <c r="E40" s="10" t="s">
        <v>16</v>
      </c>
      <c r="F40" s="408">
        <f>H40*E17</f>
        <v>2070.4908461861778</v>
      </c>
      <c r="G40" s="245"/>
      <c r="H40" s="409">
        <f>'W2 Forecast'!E29</f>
        <v>3.2656981664315937E-2</v>
      </c>
      <c r="I40" s="410">
        <f>'W1 Forecast'!F29</f>
        <v>2315.38</v>
      </c>
      <c r="J40" s="245"/>
      <c r="K40" s="245"/>
      <c r="L40" s="245"/>
      <c r="M40" s="411">
        <f>+I40/E17</f>
        <v>3.6519515333865285E-2</v>
      </c>
      <c r="N40" s="246"/>
      <c r="O40" s="412">
        <f t="shared" si="12"/>
        <v>244.8891538138223</v>
      </c>
      <c r="P40" s="246"/>
    </row>
    <row r="41" spans="2:16" ht="15.75" customHeight="1">
      <c r="D41" s="1"/>
      <c r="E41" s="1" t="s">
        <v>7</v>
      </c>
      <c r="F41" s="324">
        <f>H41*E17</f>
        <v>2060.5380250000003</v>
      </c>
      <c r="G41" s="325">
        <f t="shared" ref="G41:G47" si="19">F41/N41</f>
        <v>318.51949289972151</v>
      </c>
      <c r="H41" s="326">
        <f>+'W1 Forecast'!E30</f>
        <v>3.2500000000000001E-2</v>
      </c>
      <c r="I41" s="219">
        <f>'Entry Sheet '!F83+'Entry Sheet '!F85+'Entry Sheet '!F91+'Entry Sheet '!F93</f>
        <v>1331.99</v>
      </c>
      <c r="J41" s="218">
        <f>'Entry Sheet '!F82+'Entry Sheet '!F90</f>
        <v>205.89999999999998</v>
      </c>
      <c r="K41" s="218">
        <f>'Entry Sheet '!F84+'Entry Sheet '!F92</f>
        <v>0</v>
      </c>
      <c r="L41" s="325">
        <f t="shared" si="18"/>
        <v>205.89999999999998</v>
      </c>
      <c r="M41" s="330">
        <f t="shared" ref="M41:M48" si="20">+I41/$E$17</f>
        <v>2.1008918289678248E-2</v>
      </c>
      <c r="N41" s="332">
        <f t="shared" ref="N41:N49" si="21">+I41/L41</f>
        <v>6.4691112190383686</v>
      </c>
      <c r="O41" s="334">
        <f t="shared" si="12"/>
        <v>-728.54802500000028</v>
      </c>
      <c r="P41" s="332">
        <f>+L41-G41</f>
        <v>-112.61949289972154</v>
      </c>
    </row>
    <row r="42" spans="2:16" ht="15.75" customHeight="1">
      <c r="D42" s="1"/>
      <c r="E42" s="1" t="s">
        <v>8</v>
      </c>
      <c r="F42" s="324">
        <f>H42*E17</f>
        <v>634.01170000000002</v>
      </c>
      <c r="G42" s="325">
        <f t="shared" si="19"/>
        <v>48.78715944617533</v>
      </c>
      <c r="H42" s="326">
        <f>+'W1 Forecast'!E31</f>
        <v>0.01</v>
      </c>
      <c r="I42" s="219">
        <f>'Entry Sheet '!F75+'Entry Sheet '!F77</f>
        <v>744.64</v>
      </c>
      <c r="J42" s="218">
        <f>'Entry Sheet '!F74</f>
        <v>57.3</v>
      </c>
      <c r="K42" s="218">
        <f>'Entry Sheet '!F76</f>
        <v>0</v>
      </c>
      <c r="L42" s="325">
        <f t="shared" si="18"/>
        <v>57.3</v>
      </c>
      <c r="M42" s="330">
        <f t="shared" si="20"/>
        <v>1.1744893666788797E-2</v>
      </c>
      <c r="N42" s="332">
        <f t="shared" si="21"/>
        <v>12.995462478184992</v>
      </c>
      <c r="O42" s="334">
        <f t="shared" si="12"/>
        <v>110.62829999999997</v>
      </c>
      <c r="P42" s="332">
        <f t="shared" ref="P42:P49" si="22">+L42-G42</f>
        <v>8.5128405538246668</v>
      </c>
    </row>
    <row r="43" spans="2:16" ht="15.75" customHeight="1">
      <c r="D43" s="1"/>
      <c r="E43" s="1" t="s">
        <v>172</v>
      </c>
      <c r="F43" s="324">
        <f>H43*E17</f>
        <v>1077.8198900000002</v>
      </c>
      <c r="G43" s="325">
        <f t="shared" si="19"/>
        <v>49.924398458121836</v>
      </c>
      <c r="H43" s="326">
        <f>+'W1 Forecast'!E32</f>
        <v>1.7000000000000001E-2</v>
      </c>
      <c r="I43" s="219">
        <f>'Entry Sheet '!F87+'Entry Sheet '!F89</f>
        <v>157.6</v>
      </c>
      <c r="J43" s="218">
        <f>'Entry Sheet '!F86</f>
        <v>7.3</v>
      </c>
      <c r="K43" s="218">
        <f>'Entry Sheet '!F88</f>
        <v>0</v>
      </c>
      <c r="L43" s="325">
        <f>+K43+J43</f>
        <v>7.3</v>
      </c>
      <c r="M43" s="330">
        <f t="shared" si="20"/>
        <v>2.4857585435726181E-3</v>
      </c>
      <c r="N43" s="332">
        <f t="shared" si="21"/>
        <v>21.589041095890412</v>
      </c>
      <c r="O43" s="334">
        <f t="shared" si="12"/>
        <v>-920.21989000000019</v>
      </c>
      <c r="P43" s="332">
        <f t="shared" si="22"/>
        <v>-42.624398458121838</v>
      </c>
    </row>
    <row r="44" spans="2:16" ht="15.75" customHeight="1">
      <c r="D44" s="1"/>
      <c r="E44" s="1" t="s">
        <v>162</v>
      </c>
      <c r="F44" s="324">
        <f>H44*E17</f>
        <v>0</v>
      </c>
      <c r="G44" s="325" t="e">
        <f t="shared" si="19"/>
        <v>#DIV/0!</v>
      </c>
      <c r="H44" s="326"/>
      <c r="I44" s="219">
        <f>'Entry Sheet '!F43+'Entry Sheet '!F44</f>
        <v>0</v>
      </c>
      <c r="J44" s="218">
        <f>'Entry Sheet '!F42</f>
        <v>0</v>
      </c>
      <c r="K44" s="218">
        <f>'Entry Sheet '!F44</f>
        <v>0</v>
      </c>
      <c r="L44" s="325">
        <f>+K44+J44</f>
        <v>0</v>
      </c>
      <c r="M44" s="330">
        <f t="shared" ref="M44" si="23">+I44/$E$17</f>
        <v>0</v>
      </c>
      <c r="N44" s="332" t="e">
        <f t="shared" ref="N44" si="24">+I44/L44</f>
        <v>#DIV/0!</v>
      </c>
      <c r="O44" s="334">
        <f t="shared" ref="O44" si="25">+I44-F44</f>
        <v>0</v>
      </c>
      <c r="P44" s="332" t="e">
        <f t="shared" ref="P44" si="26">+L44-G44</f>
        <v>#DIV/0!</v>
      </c>
    </row>
    <row r="45" spans="2:16" ht="15.75" customHeight="1">
      <c r="D45" s="1"/>
      <c r="E45" s="1" t="s">
        <v>9</v>
      </c>
      <c r="F45" s="324">
        <f>H45*E17</f>
        <v>684.73263600000007</v>
      </c>
      <c r="G45" s="325">
        <f t="shared" si="19"/>
        <v>60.515539407642613</v>
      </c>
      <c r="H45" s="326">
        <f>+'W1 Forecast'!E34</f>
        <v>1.0800000000000001E-2</v>
      </c>
      <c r="I45" s="219">
        <f>'Entry Sheet '!F63+'Entry Sheet '!F65</f>
        <v>988.93000000000006</v>
      </c>
      <c r="J45" s="218">
        <f>'Entry Sheet '!F62</f>
        <v>87.4</v>
      </c>
      <c r="K45" s="218">
        <f>'Entry Sheet '!F64</f>
        <v>0</v>
      </c>
      <c r="L45" s="325">
        <f t="shared" si="18"/>
        <v>87.4</v>
      </c>
      <c r="M45" s="330">
        <f t="shared" si="20"/>
        <v>1.559797713512227E-2</v>
      </c>
      <c r="N45" s="332">
        <f t="shared" si="21"/>
        <v>11.314988558352402</v>
      </c>
      <c r="O45" s="334">
        <f t="shared" si="12"/>
        <v>304.19736399999999</v>
      </c>
      <c r="P45" s="332">
        <f t="shared" si="22"/>
        <v>26.884460592357392</v>
      </c>
    </row>
    <row r="46" spans="2:16" ht="15.75" customHeight="1">
      <c r="D46" s="1"/>
      <c r="E46" s="1" t="str">
        <f>'W1 Forecast'!B35</f>
        <v>Busser 2:</v>
      </c>
      <c r="F46" s="324">
        <f>H46*E17</f>
        <v>475.50877500000001</v>
      </c>
      <c r="G46" s="325" t="e">
        <f t="shared" si="19"/>
        <v>#DIV/0!</v>
      </c>
      <c r="H46" s="326">
        <f>+'W1 Forecast'!E35</f>
        <v>7.4999999999999997E-3</v>
      </c>
      <c r="I46" s="219">
        <f>'Entry Sheet '!F67+'Entry Sheet '!F69</f>
        <v>0</v>
      </c>
      <c r="J46" s="218">
        <f>'Entry Sheet '!F66</f>
        <v>0</v>
      </c>
      <c r="K46" s="218">
        <f>'Entry Sheet '!F68</f>
        <v>0</v>
      </c>
      <c r="L46" s="325">
        <f t="shared" si="18"/>
        <v>0</v>
      </c>
      <c r="M46" s="330">
        <f t="shared" si="20"/>
        <v>0</v>
      </c>
      <c r="N46" s="332" t="e">
        <f t="shared" si="21"/>
        <v>#DIV/0!</v>
      </c>
      <c r="O46" s="334">
        <f t="shared" si="12"/>
        <v>-475.50877500000001</v>
      </c>
      <c r="P46" s="332" t="e">
        <f t="shared" si="22"/>
        <v>#DIV/0!</v>
      </c>
    </row>
    <row r="47" spans="2:16" ht="15.75" customHeight="1">
      <c r="D47" s="1"/>
      <c r="E47" s="1" t="str">
        <f>'W1 Forecast'!B36</f>
        <v>Busser 1:</v>
      </c>
      <c r="F47" s="324">
        <f>H47*E17</f>
        <v>253.60468000000003</v>
      </c>
      <c r="G47" s="325">
        <f t="shared" si="19"/>
        <v>21.143634411963944</v>
      </c>
      <c r="H47" s="326">
        <f>+'W1 Forecast'!E36</f>
        <v>4.0000000000000001E-3</v>
      </c>
      <c r="I47" s="219">
        <f>'Entry Sheet '!F79+'Entry Sheet '!F81</f>
        <v>767.64</v>
      </c>
      <c r="J47" s="218">
        <f>'Entry Sheet '!F78</f>
        <v>64</v>
      </c>
      <c r="K47" s="218">
        <f>'Entry Sheet '!F80</f>
        <v>0</v>
      </c>
      <c r="L47" s="325">
        <f t="shared" si="18"/>
        <v>64</v>
      </c>
      <c r="M47" s="330">
        <f t="shared" si="20"/>
        <v>1.2107662997386325E-2</v>
      </c>
      <c r="N47" s="332">
        <f t="shared" si="21"/>
        <v>11.994375</v>
      </c>
      <c r="O47" s="334">
        <f t="shared" si="12"/>
        <v>514.03531999999996</v>
      </c>
      <c r="P47" s="332">
        <f t="shared" si="22"/>
        <v>42.856365588036056</v>
      </c>
    </row>
    <row r="48" spans="2:16" ht="15.75" customHeight="1" thickBot="1">
      <c r="D48" s="1"/>
      <c r="E48" s="1" t="str">
        <f>'W1 Forecast'!B37</f>
        <v>Busser 3:</v>
      </c>
      <c r="F48" s="324">
        <f>H48*E17</f>
        <v>190.20351000000002</v>
      </c>
      <c r="G48" s="325" t="e">
        <f t="shared" ref="G48" si="27">F48/N48</f>
        <v>#DIV/0!</v>
      </c>
      <c r="H48" s="326">
        <f>+'W1 Forecast'!E37</f>
        <v>3.0000000000000001E-3</v>
      </c>
      <c r="I48" s="219">
        <f>'Entry Sheet '!F71+'Entry Sheet '!F73</f>
        <v>0</v>
      </c>
      <c r="J48" s="218">
        <f>'Entry Sheet '!F70</f>
        <v>0</v>
      </c>
      <c r="K48" s="218">
        <f>'Entry Sheet '!F72</f>
        <v>0</v>
      </c>
      <c r="L48" s="325">
        <f t="shared" ref="L48" si="28">+K48+J48</f>
        <v>0</v>
      </c>
      <c r="M48" s="330">
        <f t="shared" si="20"/>
        <v>0</v>
      </c>
      <c r="N48" s="332" t="e">
        <f t="shared" si="21"/>
        <v>#DIV/0!</v>
      </c>
      <c r="O48" s="334">
        <f t="shared" si="12"/>
        <v>-190.20351000000002</v>
      </c>
      <c r="P48" s="332" t="e">
        <f t="shared" si="22"/>
        <v>#DIV/0!</v>
      </c>
    </row>
    <row r="49" spans="4:18" ht="15.75" customHeight="1" thickBot="1">
      <c r="D49" s="1"/>
      <c r="E49" s="10" t="s">
        <v>11</v>
      </c>
      <c r="F49" s="336">
        <f>SUM(F40:F48)</f>
        <v>7446.910062186178</v>
      </c>
      <c r="G49" s="337" t="e">
        <f>SUM(G41:G48)</f>
        <v>#DIV/0!</v>
      </c>
      <c r="H49" s="338">
        <f>SUM(H40:H48)</f>
        <v>0.11745698166431595</v>
      </c>
      <c r="I49" s="339">
        <f>SUM(I40:I48)</f>
        <v>6306.1800000000012</v>
      </c>
      <c r="J49" s="337">
        <f>SUM(J41:J48)</f>
        <v>421.9</v>
      </c>
      <c r="K49" s="337">
        <f>SUM(K41:K48)</f>
        <v>0</v>
      </c>
      <c r="L49" s="337">
        <f>SUM(L41:L48)</f>
        <v>421.9</v>
      </c>
      <c r="M49" s="343">
        <f>+I49/E17</f>
        <v>9.9464725966413564E-2</v>
      </c>
      <c r="N49" s="341">
        <f t="shared" si="21"/>
        <v>14.947096468357435</v>
      </c>
      <c r="O49" s="344">
        <f>SUM(O40:O48)</f>
        <v>-1140.7300621861784</v>
      </c>
      <c r="P49" s="392" t="e">
        <f t="shared" si="22"/>
        <v>#DIV/0!</v>
      </c>
    </row>
    <row r="50" spans="4:18" ht="15.75" customHeight="1" thickBot="1">
      <c r="D50" s="1"/>
      <c r="E50" s="10" t="s">
        <v>0</v>
      </c>
      <c r="F50" s="346">
        <f t="shared" ref="F50:M50" si="29">+F49+F39</f>
        <v>15538.76830263893</v>
      </c>
      <c r="G50" s="347" t="e">
        <f t="shared" si="29"/>
        <v>#DIV/0!</v>
      </c>
      <c r="H50" s="348">
        <f t="shared" si="29"/>
        <v>0.24508645980253882</v>
      </c>
      <c r="I50" s="349">
        <f t="shared" si="29"/>
        <v>15653.920000000002</v>
      </c>
      <c r="J50" s="347">
        <f t="shared" si="29"/>
        <v>863.40000000000009</v>
      </c>
      <c r="K50" s="347">
        <f t="shared" si="29"/>
        <v>4.5999999999999996</v>
      </c>
      <c r="L50" s="347">
        <f t="shared" si="29"/>
        <v>868</v>
      </c>
      <c r="M50" s="350">
        <f t="shared" si="29"/>
        <v>0.24690269911422769</v>
      </c>
      <c r="N50" s="351">
        <f>+I50/L50</f>
        <v>18.034470046082951</v>
      </c>
      <c r="O50" s="352">
        <f>+O49+O39</f>
        <v>115.15169736106986</v>
      </c>
      <c r="P50" s="351" t="e">
        <f>+P49+P39</f>
        <v>#DIV/0!</v>
      </c>
      <c r="R50" s="249"/>
    </row>
    <row r="51" spans="4:18" ht="15.75" customHeight="1">
      <c r="D51" s="1"/>
      <c r="E51" s="65"/>
      <c r="F51" s="122"/>
      <c r="G51" s="122"/>
      <c r="H51" s="122"/>
      <c r="I51" s="123"/>
      <c r="J51" s="58"/>
      <c r="K51" s="57"/>
      <c r="L51" s="56"/>
      <c r="M51" s="57"/>
    </row>
    <row r="52" spans="4:18" ht="15.75" customHeight="1">
      <c r="D52" s="1"/>
      <c r="E52" s="65"/>
      <c r="F52" s="56"/>
      <c r="G52" s="57"/>
      <c r="H52" s="58"/>
      <c r="I52" s="59"/>
      <c r="J52" s="58"/>
      <c r="K52" s="57"/>
      <c r="L52" s="56"/>
      <c r="M52" s="57"/>
    </row>
    <row r="53" spans="4:18" ht="15.75" customHeight="1">
      <c r="D53" s="1"/>
      <c r="E53" s="65"/>
      <c r="F53" s="56"/>
      <c r="G53" s="57"/>
      <c r="H53" s="58"/>
      <c r="I53" s="59"/>
      <c r="J53" s="58"/>
      <c r="K53" s="57"/>
      <c r="L53" s="56"/>
      <c r="M53" s="57"/>
    </row>
    <row r="54" spans="4:18" ht="15.75" customHeight="1">
      <c r="D54" s="1"/>
      <c r="E54" s="65"/>
      <c r="F54" s="56"/>
      <c r="G54" s="57"/>
      <c r="H54" s="58"/>
      <c r="I54" s="59"/>
      <c r="J54" s="58"/>
      <c r="K54" s="57"/>
      <c r="L54" s="56"/>
      <c r="M54" s="57"/>
    </row>
    <row r="55" spans="4:18" ht="15.75" customHeight="1">
      <c r="D55" s="1"/>
      <c r="E55" s="40"/>
      <c r="F55" s="66"/>
      <c r="G55" s="66"/>
      <c r="H55" s="67"/>
      <c r="I55" s="66"/>
      <c r="J55" s="68"/>
      <c r="K55" s="66"/>
      <c r="L55" s="56"/>
      <c r="M55" s="66"/>
    </row>
    <row r="56" spans="4:18" hidden="1">
      <c r="E56" s="926" t="s">
        <v>15</v>
      </c>
      <c r="F56" s="927"/>
      <c r="G56" s="927"/>
      <c r="H56" s="928"/>
      <c r="I56" s="929"/>
      <c r="J56" s="926" t="s">
        <v>62</v>
      </c>
      <c r="K56" s="928"/>
      <c r="L56" s="928"/>
      <c r="M56" s="928"/>
      <c r="N56" s="928"/>
      <c r="O56" s="929"/>
    </row>
    <row r="57" spans="4:18" ht="25.5" hidden="1">
      <c r="E57" s="113" t="s">
        <v>63</v>
      </c>
      <c r="F57" s="69" t="s">
        <v>64</v>
      </c>
      <c r="G57" s="69" t="s">
        <v>2</v>
      </c>
      <c r="H57" s="69" t="s">
        <v>59</v>
      </c>
      <c r="I57" s="70" t="s">
        <v>51</v>
      </c>
      <c r="J57" s="71" t="s">
        <v>65</v>
      </c>
      <c r="K57" s="71" t="s">
        <v>66</v>
      </c>
      <c r="L57" s="69" t="s">
        <v>38</v>
      </c>
      <c r="M57" s="69" t="s">
        <v>12</v>
      </c>
      <c r="N57" s="69" t="s">
        <v>13</v>
      </c>
      <c r="O57" s="72" t="s">
        <v>67</v>
      </c>
    </row>
    <row r="58" spans="4:18" hidden="1">
      <c r="D58" s="1" t="s">
        <v>68</v>
      </c>
      <c r="E58" s="114">
        <v>190</v>
      </c>
      <c r="F58" s="73">
        <v>0</v>
      </c>
      <c r="G58" s="73">
        <f>+E58+F58</f>
        <v>190</v>
      </c>
      <c r="H58" s="73">
        <f>+F58+G58</f>
        <v>190</v>
      </c>
      <c r="I58" s="74">
        <f>+E58-H58</f>
        <v>0</v>
      </c>
      <c r="J58" s="75">
        <f>K58/G58</f>
        <v>13.936842105263159</v>
      </c>
      <c r="K58" s="49">
        <v>2648</v>
      </c>
      <c r="L58" s="76">
        <f>K58/$E$17</f>
        <v>4.1765790757489173E-2</v>
      </c>
      <c r="M58" s="49">
        <f>+K58</f>
        <v>2648</v>
      </c>
      <c r="N58" s="77">
        <f>+M58/E17</f>
        <v>4.1765790757489173E-2</v>
      </c>
      <c r="O58" s="78">
        <f>+K58-M58</f>
        <v>0</v>
      </c>
    </row>
    <row r="59" spans="4:18" hidden="1">
      <c r="D59" s="1" t="s">
        <v>69</v>
      </c>
      <c r="E59" s="114">
        <v>35.01</v>
      </c>
      <c r="F59" s="73">
        <v>0</v>
      </c>
      <c r="G59" s="73">
        <v>35.01</v>
      </c>
      <c r="H59" s="79">
        <v>0</v>
      </c>
      <c r="I59" s="74">
        <v>0</v>
      </c>
      <c r="J59" s="75">
        <v>0</v>
      </c>
      <c r="K59" s="49">
        <v>630.17999999999995</v>
      </c>
      <c r="L59" s="76">
        <v>0</v>
      </c>
      <c r="M59" s="49">
        <f>+J59*H59</f>
        <v>0</v>
      </c>
      <c r="N59" s="77">
        <v>0</v>
      </c>
      <c r="O59" s="80">
        <v>0</v>
      </c>
    </row>
    <row r="60" spans="4:18" hidden="1">
      <c r="D60" s="1" t="s">
        <v>70</v>
      </c>
      <c r="E60" s="114">
        <v>110</v>
      </c>
      <c r="F60" s="73">
        <v>0</v>
      </c>
      <c r="G60" s="73">
        <f>E60+F60</f>
        <v>110</v>
      </c>
      <c r="H60" s="79">
        <f>+M60/J60</f>
        <v>110</v>
      </c>
      <c r="I60" s="74">
        <f>+E60-H60</f>
        <v>0</v>
      </c>
      <c r="J60" s="75">
        <f>K60/G60</f>
        <v>19.40909090909091</v>
      </c>
      <c r="K60" s="49">
        <v>2135</v>
      </c>
      <c r="L60" s="76">
        <f>K60/$E$17</f>
        <v>3.3674457427205207E-2</v>
      </c>
      <c r="M60" s="49">
        <f>+K60</f>
        <v>2135</v>
      </c>
      <c r="N60" s="77">
        <f>+M60/E17</f>
        <v>3.3674457427205207E-2</v>
      </c>
      <c r="O60" s="80">
        <f>+K60-M60</f>
        <v>0</v>
      </c>
    </row>
    <row r="61" spans="4:18" hidden="1">
      <c r="D61" s="1" t="s">
        <v>71</v>
      </c>
      <c r="E61" s="114"/>
      <c r="F61" s="73"/>
      <c r="G61" s="73">
        <f>+E61+F61</f>
        <v>0</v>
      </c>
      <c r="H61" s="79">
        <f>'[3]Schedule Planner - New'!R40</f>
        <v>350.69440124806869</v>
      </c>
      <c r="I61" s="74">
        <f t="shared" ref="I61:I68" si="30">+G61-H61</f>
        <v>-350.69440124806869</v>
      </c>
      <c r="J61" s="75" t="e">
        <f>+K61/G61</f>
        <v>#DIV/0!</v>
      </c>
      <c r="K61" s="49"/>
      <c r="L61" s="76">
        <f>+K61/E$17</f>
        <v>0</v>
      </c>
      <c r="M61" s="81" t="e">
        <f>+H61*J61</f>
        <v>#DIV/0!</v>
      </c>
      <c r="N61" s="76" t="e">
        <f>+M61/E$17</f>
        <v>#DIV/0!</v>
      </c>
      <c r="O61" s="80" t="e">
        <f>+K61-M61</f>
        <v>#DIV/0!</v>
      </c>
    </row>
    <row r="62" spans="4:18" hidden="1">
      <c r="D62" s="1" t="s">
        <v>72</v>
      </c>
      <c r="E62" s="114"/>
      <c r="F62" s="73"/>
      <c r="G62" s="73">
        <f t="shared" ref="G62:G68" si="31">+E62+F62</f>
        <v>0</v>
      </c>
      <c r="H62" s="79">
        <f>'[3]Schedule Planner - New'!R41</f>
        <v>422.85637871826748</v>
      </c>
      <c r="I62" s="74">
        <f t="shared" si="30"/>
        <v>-422.85637871826748</v>
      </c>
      <c r="J62" s="75" t="e">
        <f t="shared" ref="J62:J75" si="32">+K62/G62</f>
        <v>#DIV/0!</v>
      </c>
      <c r="K62" s="49"/>
      <c r="L62" s="76">
        <f t="shared" ref="L62:L68" si="33">+K62/E$17</f>
        <v>0</v>
      </c>
      <c r="M62" s="81" t="e">
        <f t="shared" ref="M62:M68" si="34">+H62*J62</f>
        <v>#DIV/0!</v>
      </c>
      <c r="N62" s="76" t="e">
        <f t="shared" ref="N62:N75" si="35">+M62/E$17</f>
        <v>#DIV/0!</v>
      </c>
      <c r="O62" s="80" t="e">
        <f t="shared" ref="O62:O68" si="36">+K62-M62</f>
        <v>#DIV/0!</v>
      </c>
    </row>
    <row r="63" spans="4:18" hidden="1">
      <c r="D63" s="1" t="s">
        <v>73</v>
      </c>
      <c r="E63" s="114"/>
      <c r="F63" s="73"/>
      <c r="G63" s="73">
        <f t="shared" si="31"/>
        <v>0</v>
      </c>
      <c r="H63" s="79">
        <f>'[3]Schedule Planner - New'!R42</f>
        <v>171.87518701457768</v>
      </c>
      <c r="I63" s="74">
        <f t="shared" si="30"/>
        <v>-171.87518701457768</v>
      </c>
      <c r="J63" s="75" t="e">
        <f t="shared" si="32"/>
        <v>#DIV/0!</v>
      </c>
      <c r="K63" s="49"/>
      <c r="L63" s="76">
        <f t="shared" si="33"/>
        <v>0</v>
      </c>
      <c r="M63" s="81" t="e">
        <f t="shared" si="34"/>
        <v>#DIV/0!</v>
      </c>
      <c r="N63" s="76" t="e">
        <f t="shared" si="35"/>
        <v>#DIV/0!</v>
      </c>
      <c r="O63" s="80" t="e">
        <f t="shared" si="36"/>
        <v>#DIV/0!</v>
      </c>
    </row>
    <row r="64" spans="4:18" hidden="1">
      <c r="D64" s="1" t="s">
        <v>8</v>
      </c>
      <c r="E64" s="114"/>
      <c r="F64" s="73"/>
      <c r="G64" s="73">
        <f t="shared" si="31"/>
        <v>0</v>
      </c>
      <c r="H64" s="79">
        <f>'[3]Schedule Planner - New'!R43</f>
        <v>73.917426115363867</v>
      </c>
      <c r="I64" s="74">
        <f t="shared" si="30"/>
        <v>-73.917426115363867</v>
      </c>
      <c r="J64" s="75" t="e">
        <f t="shared" si="32"/>
        <v>#DIV/0!</v>
      </c>
      <c r="K64" s="49"/>
      <c r="L64" s="76">
        <f t="shared" si="33"/>
        <v>0</v>
      </c>
      <c r="M64" s="81" t="e">
        <f t="shared" si="34"/>
        <v>#DIV/0!</v>
      </c>
      <c r="N64" s="76" t="e">
        <f t="shared" si="35"/>
        <v>#DIV/0!</v>
      </c>
      <c r="O64" s="80" t="e">
        <f t="shared" si="36"/>
        <v>#DIV/0!</v>
      </c>
    </row>
    <row r="65" spans="4:15" hidden="1">
      <c r="D65" s="1" t="s">
        <v>74</v>
      </c>
      <c r="E65" s="114"/>
      <c r="F65" s="73"/>
      <c r="G65" s="73">
        <f t="shared" si="31"/>
        <v>0</v>
      </c>
      <c r="H65" s="79">
        <f>'[3]Schedule Planner - New'!R44</f>
        <v>81.718958553283159</v>
      </c>
      <c r="I65" s="74">
        <f t="shared" si="30"/>
        <v>-81.718958553283159</v>
      </c>
      <c r="J65" s="75" t="e">
        <f t="shared" si="32"/>
        <v>#DIV/0!</v>
      </c>
      <c r="K65" s="49"/>
      <c r="L65" s="76">
        <f t="shared" si="33"/>
        <v>0</v>
      </c>
      <c r="M65" s="81" t="e">
        <f t="shared" si="34"/>
        <v>#DIV/0!</v>
      </c>
      <c r="N65" s="76" t="e">
        <f t="shared" si="35"/>
        <v>#DIV/0!</v>
      </c>
      <c r="O65" s="80" t="e">
        <f t="shared" si="36"/>
        <v>#DIV/0!</v>
      </c>
    </row>
    <row r="66" spans="4:15" hidden="1">
      <c r="D66" s="1" t="s">
        <v>9</v>
      </c>
      <c r="E66" s="114"/>
      <c r="F66" s="73"/>
      <c r="G66" s="73">
        <f t="shared" si="31"/>
        <v>0</v>
      </c>
      <c r="H66" s="79">
        <f>'[3]Schedule Planner - New'!R45</f>
        <v>88.081977362304968</v>
      </c>
      <c r="I66" s="74">
        <f t="shared" si="30"/>
        <v>-88.081977362304968</v>
      </c>
      <c r="J66" s="75" t="e">
        <f t="shared" si="32"/>
        <v>#DIV/0!</v>
      </c>
      <c r="K66" s="49"/>
      <c r="L66" s="76">
        <f t="shared" si="33"/>
        <v>0</v>
      </c>
      <c r="M66" s="81" t="e">
        <f t="shared" si="34"/>
        <v>#DIV/0!</v>
      </c>
      <c r="N66" s="76" t="e">
        <f t="shared" si="35"/>
        <v>#DIV/0!</v>
      </c>
      <c r="O66" s="80" t="e">
        <f t="shared" si="36"/>
        <v>#DIV/0!</v>
      </c>
    </row>
    <row r="67" spans="4:15" hidden="1">
      <c r="D67" s="1" t="s">
        <v>10</v>
      </c>
      <c r="E67" s="114"/>
      <c r="F67" s="73"/>
      <c r="G67" s="73">
        <f t="shared" si="31"/>
        <v>0</v>
      </c>
      <c r="H67" s="79">
        <f>'[3]Schedule Planner - New'!R46</f>
        <v>70.783443543790739</v>
      </c>
      <c r="I67" s="74">
        <f t="shared" si="30"/>
        <v>-70.783443543790739</v>
      </c>
      <c r="J67" s="75" t="e">
        <f t="shared" si="32"/>
        <v>#DIV/0!</v>
      </c>
      <c r="K67" s="49"/>
      <c r="L67" s="76">
        <f t="shared" si="33"/>
        <v>0</v>
      </c>
      <c r="M67" s="81" t="e">
        <f t="shared" si="34"/>
        <v>#DIV/0!</v>
      </c>
      <c r="N67" s="76" t="e">
        <f t="shared" si="35"/>
        <v>#DIV/0!</v>
      </c>
      <c r="O67" s="80" t="e">
        <f t="shared" si="36"/>
        <v>#DIV/0!</v>
      </c>
    </row>
    <row r="68" spans="4:15" hidden="1">
      <c r="D68" s="1" t="s">
        <v>75</v>
      </c>
      <c r="E68" s="114"/>
      <c r="F68" s="73"/>
      <c r="G68" s="73">
        <f t="shared" si="31"/>
        <v>0</v>
      </c>
      <c r="H68" s="79">
        <f>'[3]Schedule Planner - New'!R47</f>
        <v>32.085123766349717</v>
      </c>
      <c r="I68" s="74">
        <f t="shared" si="30"/>
        <v>-32.085123766349717</v>
      </c>
      <c r="J68" s="75" t="e">
        <f t="shared" si="32"/>
        <v>#DIV/0!</v>
      </c>
      <c r="K68" s="49"/>
      <c r="L68" s="76">
        <f t="shared" si="33"/>
        <v>0</v>
      </c>
      <c r="M68" s="81" t="e">
        <f t="shared" si="34"/>
        <v>#DIV/0!</v>
      </c>
      <c r="N68" s="76" t="e">
        <f t="shared" si="35"/>
        <v>#DIV/0!</v>
      </c>
      <c r="O68" s="80" t="e">
        <f t="shared" si="36"/>
        <v>#DIV/0!</v>
      </c>
    </row>
    <row r="69" spans="4:15" ht="16.5" hidden="1" customHeight="1">
      <c r="D69" s="1" t="s">
        <v>76</v>
      </c>
      <c r="E69" s="114"/>
      <c r="F69" s="73"/>
      <c r="G69" s="73"/>
      <c r="H69" s="79"/>
      <c r="I69" s="74"/>
      <c r="J69" s="75"/>
      <c r="K69" s="49"/>
      <c r="L69" s="76"/>
      <c r="M69" s="81"/>
      <c r="N69" s="76"/>
      <c r="O69" s="80"/>
    </row>
    <row r="70" spans="4:15" hidden="1">
      <c r="D70" s="1"/>
      <c r="E70" s="114"/>
      <c r="F70" s="73"/>
      <c r="G70" s="73"/>
      <c r="H70" s="79"/>
      <c r="I70" s="74"/>
      <c r="J70" s="75"/>
      <c r="K70" s="49"/>
      <c r="L70" s="76"/>
      <c r="M70" s="81"/>
      <c r="N70" s="76"/>
      <c r="O70" s="80"/>
    </row>
    <row r="71" spans="4:15" hidden="1">
      <c r="D71" s="1"/>
      <c r="E71" s="115"/>
      <c r="F71" s="82"/>
      <c r="G71" s="73"/>
      <c r="H71" s="79"/>
      <c r="I71" s="74"/>
      <c r="J71" s="75"/>
      <c r="K71" s="83"/>
      <c r="L71" s="76"/>
      <c r="M71" s="81"/>
      <c r="N71" s="76"/>
      <c r="O71" s="80"/>
    </row>
    <row r="72" spans="4:15" hidden="1">
      <c r="D72" s="1" t="s">
        <v>0</v>
      </c>
      <c r="E72" s="84">
        <f>SUM(E58:E71)</f>
        <v>335.01</v>
      </c>
      <c r="F72" s="85">
        <f t="shared" ref="F72:O72" si="37">SUM(F58:F71)</f>
        <v>0</v>
      </c>
      <c r="G72" s="85">
        <f t="shared" si="37"/>
        <v>335.01</v>
      </c>
      <c r="H72" s="85">
        <f t="shared" si="37"/>
        <v>1592.0128963220063</v>
      </c>
      <c r="I72" s="85">
        <f t="shared" si="37"/>
        <v>-1292.0128963220063</v>
      </c>
      <c r="J72" s="86">
        <f t="shared" si="32"/>
        <v>16.158263932419928</v>
      </c>
      <c r="K72" s="85">
        <f t="shared" si="37"/>
        <v>5413.18</v>
      </c>
      <c r="L72" s="87">
        <f>K72/$E$17</f>
        <v>8.5379812391474796E-2</v>
      </c>
      <c r="M72" s="85" t="e">
        <f t="shared" si="37"/>
        <v>#DIV/0!</v>
      </c>
      <c r="N72" s="87" t="e">
        <f t="shared" si="35"/>
        <v>#DIV/0!</v>
      </c>
      <c r="O72" s="88" t="e">
        <f t="shared" si="37"/>
        <v>#DIV/0!</v>
      </c>
    </row>
    <row r="73" spans="4:15" hidden="1">
      <c r="D73" s="1" t="s">
        <v>77</v>
      </c>
      <c r="E73" s="89">
        <f>+E58+E62+E64+E66+E67+E68+E69+E70</f>
        <v>190</v>
      </c>
      <c r="F73" s="90">
        <f>+F58+F62+F64+F66+F67+F68+F69+F70</f>
        <v>0</v>
      </c>
      <c r="G73" s="90">
        <f>+G58+G62+G64+G66+G67+G68+G69+G70</f>
        <v>190</v>
      </c>
      <c r="H73" s="90">
        <f>+H58+H62+H64+H66+H67+H68+H69+H70</f>
        <v>877.72434950607692</v>
      </c>
      <c r="I73" s="90">
        <f>+I58+I62+I64+I66+I67+I68+I69+I70</f>
        <v>-687.72434950607681</v>
      </c>
      <c r="J73" s="91">
        <f t="shared" si="32"/>
        <v>13.936842105263159</v>
      </c>
      <c r="K73" s="90">
        <f>+K58+K62+K64+K66+K67+K68+K69+K70</f>
        <v>2648</v>
      </c>
      <c r="L73" s="76">
        <f>K73/$E$17</f>
        <v>4.1765790757489173E-2</v>
      </c>
      <c r="M73" s="90" t="e">
        <f>+M58+M62+M64+M66+M67+M68+M69+M70</f>
        <v>#DIV/0!</v>
      </c>
      <c r="N73" s="76" t="e">
        <f t="shared" si="35"/>
        <v>#DIV/0!</v>
      </c>
      <c r="O73" s="92" t="e">
        <f>+O58+O62+O64+O66+O67+O68+O69+O70</f>
        <v>#DIV/0!</v>
      </c>
    </row>
    <row r="74" spans="4:15" hidden="1">
      <c r="D74" s="1" t="s">
        <v>78</v>
      </c>
      <c r="E74" s="89">
        <f>+E60+E61+E63+E65</f>
        <v>110</v>
      </c>
      <c r="F74" s="90">
        <f>+F60+F61+F63+F65</f>
        <v>0</v>
      </c>
      <c r="G74" s="90">
        <f>+G60+G61+G63+G65</f>
        <v>110</v>
      </c>
      <c r="H74" s="90">
        <f>+H60+H61+H63+H65</f>
        <v>714.28854681592952</v>
      </c>
      <c r="I74" s="90">
        <f>+I60+I61+I63+I65</f>
        <v>-604.28854681592952</v>
      </c>
      <c r="J74" s="91">
        <f t="shared" si="32"/>
        <v>19.40909090909091</v>
      </c>
      <c r="K74" s="90">
        <f>+K60+K61+K63+K65</f>
        <v>2135</v>
      </c>
      <c r="L74" s="76">
        <f>K74/$E$17</f>
        <v>3.3674457427205207E-2</v>
      </c>
      <c r="M74" s="90" t="e">
        <f>+M60+M61+M63+M65</f>
        <v>#DIV/0!</v>
      </c>
      <c r="N74" s="76" t="e">
        <f t="shared" si="35"/>
        <v>#DIV/0!</v>
      </c>
      <c r="O74" s="92" t="e">
        <f>+O60+O61+O63+O65</f>
        <v>#DIV/0!</v>
      </c>
    </row>
    <row r="75" spans="4:15" ht="13.5" hidden="1" thickBot="1">
      <c r="D75" s="1" t="s">
        <v>79</v>
      </c>
      <c r="E75" s="93">
        <f>+E65+E63</f>
        <v>0</v>
      </c>
      <c r="F75" s="94">
        <f>+F65+F63</f>
        <v>0</v>
      </c>
      <c r="G75" s="94">
        <f>+G65+G63</f>
        <v>0</v>
      </c>
      <c r="H75" s="94">
        <f>+H65+H63</f>
        <v>253.59414556786083</v>
      </c>
      <c r="I75" s="94">
        <f>+I65+I63</f>
        <v>-253.59414556786083</v>
      </c>
      <c r="J75" s="95" t="e">
        <f t="shared" si="32"/>
        <v>#DIV/0!</v>
      </c>
      <c r="K75" s="94">
        <f>+K65+K63</f>
        <v>0</v>
      </c>
      <c r="L75" s="96">
        <f>K75/$E$17</f>
        <v>0</v>
      </c>
      <c r="M75" s="94" t="e">
        <f>+M65+M63</f>
        <v>#DIV/0!</v>
      </c>
      <c r="N75" s="96" t="e">
        <f t="shared" si="35"/>
        <v>#DIV/0!</v>
      </c>
      <c r="O75" s="97" t="e">
        <f>+O65+O63</f>
        <v>#DIV/0!</v>
      </c>
    </row>
    <row r="77" spans="4:15">
      <c r="L77" s="38" t="s">
        <v>19</v>
      </c>
    </row>
    <row r="126" ht="3.75" customHeight="1"/>
    <row r="134" ht="5.25" customHeight="1"/>
    <row r="142" ht="3.75" customHeight="1"/>
    <row r="143" ht="15" customHeight="1"/>
    <row r="150" ht="3.75" customHeight="1"/>
  </sheetData>
  <mergeCells count="14">
    <mergeCell ref="G1:H1"/>
    <mergeCell ref="E4:F4"/>
    <mergeCell ref="E5:F5"/>
    <mergeCell ref="E2:J2"/>
    <mergeCell ref="E56:I56"/>
    <mergeCell ref="J56:O56"/>
    <mergeCell ref="B29:D29"/>
    <mergeCell ref="B9:C9"/>
    <mergeCell ref="E9:G9"/>
    <mergeCell ref="H9:M9"/>
    <mergeCell ref="N9:Q9"/>
    <mergeCell ref="F28:H28"/>
    <mergeCell ref="I28:N28"/>
    <mergeCell ref="O28:P28"/>
  </mergeCells>
  <phoneticPr fontId="0" type="noConversion"/>
  <hyperlinks>
    <hyperlink ref="E6:F6" r:id="rId1" display="https://mail.mrgct.com/exchange/jthomas/Inbox/Max Restaurant Group/2010 Budget/Restaurant Workbooks/Template.xls" xr:uid="{00000000-0004-0000-0600-000000000000}"/>
  </hyperlinks>
  <pageMargins left="0.14000000000000001" right="0.14000000000000001" top="0.15" bottom="0.18" header="0.15" footer="0.15"/>
  <pageSetup scale="7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62"/>
  <sheetViews>
    <sheetView topLeftCell="A10" workbookViewId="0">
      <selection activeCell="C2" sqref="C2:D2"/>
    </sheetView>
  </sheetViews>
  <sheetFormatPr defaultColWidth="9.140625" defaultRowHeight="15"/>
  <sheetData>
    <row r="1" spans="2:12" ht="15.75" thickBot="1"/>
    <row r="2" spans="2:12" ht="15.75" thickBot="1">
      <c r="B2" s="1" t="s">
        <v>20</v>
      </c>
      <c r="C2" s="901" t="s">
        <v>226</v>
      </c>
      <c r="D2" s="902"/>
    </row>
    <row r="3" spans="2:12" ht="15.75" thickBot="1">
      <c r="B3" s="1" t="s">
        <v>44</v>
      </c>
      <c r="C3" s="903">
        <f>'W2 Forecast'!J14</f>
        <v>44234</v>
      </c>
      <c r="D3" s="904"/>
    </row>
    <row r="4" spans="2:12" ht="15.75" thickBot="1">
      <c r="B4" s="430" t="s">
        <v>21</v>
      </c>
      <c r="C4" s="476">
        <f>'W2 Cost &amp; Sales'!D6</f>
        <v>2</v>
      </c>
      <c r="D4" s="475" t="s">
        <v>87</v>
      </c>
      <c r="E4" s="477">
        <f>'W2 Cost &amp; Sales'!F6</f>
        <v>2</v>
      </c>
    </row>
    <row r="5" spans="2:12" ht="15.75" thickBot="1"/>
    <row r="6" spans="2:12" ht="15.75">
      <c r="B6" s="431" t="s">
        <v>227</v>
      </c>
      <c r="C6" s="480"/>
      <c r="D6" s="429" t="s">
        <v>1</v>
      </c>
      <c r="E6" s="481"/>
      <c r="F6" s="479" t="s">
        <v>49</v>
      </c>
      <c r="G6" s="429" t="s">
        <v>51</v>
      </c>
      <c r="H6" s="428"/>
      <c r="I6" s="428"/>
      <c r="J6" s="428"/>
      <c r="K6" s="428"/>
      <c r="L6" s="428"/>
    </row>
    <row r="7" spans="2:12">
      <c r="B7" s="19" t="s">
        <v>29</v>
      </c>
      <c r="C7" s="482"/>
      <c r="D7" s="432">
        <f>'W2 Forecast'!I20</f>
        <v>46184.26</v>
      </c>
      <c r="E7" s="7"/>
      <c r="F7" s="483">
        <f>'W2 Cost &amp; Sales'!E11</f>
        <v>44769.16</v>
      </c>
      <c r="G7" s="484">
        <f>F7-D7</f>
        <v>-1415.0999999999985</v>
      </c>
    </row>
    <row r="8" spans="2:12">
      <c r="B8" s="19" t="s">
        <v>24</v>
      </c>
      <c r="C8" s="482"/>
      <c r="D8" s="432">
        <f>'W2 Forecast'!I21</f>
        <v>7323.97</v>
      </c>
      <c r="E8" s="7"/>
      <c r="F8" s="483">
        <f>'W2 Cost &amp; Sales'!E12</f>
        <v>10087.700000000001</v>
      </c>
      <c r="G8" s="484">
        <f t="shared" ref="G8:G11" si="0">F8-D8</f>
        <v>2763.7300000000005</v>
      </c>
    </row>
    <row r="9" spans="2:12">
      <c r="B9" s="19" t="s">
        <v>25</v>
      </c>
      <c r="C9" s="482"/>
      <c r="D9" s="432">
        <f>'W2 Forecast'!I22</f>
        <v>3438.65</v>
      </c>
      <c r="E9" s="7"/>
      <c r="F9" s="483">
        <f>'W2 Cost &amp; Sales'!E13</f>
        <v>1645.01</v>
      </c>
      <c r="G9" s="484">
        <f t="shared" si="0"/>
        <v>-1793.64</v>
      </c>
    </row>
    <row r="10" spans="2:12">
      <c r="B10" s="19" t="s">
        <v>26</v>
      </c>
      <c r="C10" s="482"/>
      <c r="D10" s="432">
        <f>'W2 Forecast'!I23</f>
        <v>11939.56</v>
      </c>
      <c r="E10" s="7"/>
      <c r="F10" s="483">
        <f>'W2 Cost &amp; Sales'!E14</f>
        <v>5957</v>
      </c>
      <c r="G10" s="484">
        <f t="shared" si="0"/>
        <v>-5982.5599999999995</v>
      </c>
    </row>
    <row r="11" spans="2:12" ht="15.75" thickBot="1">
      <c r="B11" s="19" t="s">
        <v>85</v>
      </c>
      <c r="C11" s="482"/>
      <c r="D11" s="518">
        <f>'W2 Forecast'!I24</f>
        <v>2013.5600000000002</v>
      </c>
      <c r="E11" s="7"/>
      <c r="F11" s="534">
        <f>'W2 Cost &amp; Sales'!E15</f>
        <v>842.3</v>
      </c>
      <c r="G11" s="461">
        <f t="shared" si="0"/>
        <v>-1171.2600000000002</v>
      </c>
    </row>
    <row r="12" spans="2:12">
      <c r="B12" s="430" t="s">
        <v>0</v>
      </c>
      <c r="C12" s="485"/>
      <c r="D12" s="531">
        <f>SUM(D7:D11)</f>
        <v>70900</v>
      </c>
      <c r="E12" s="486"/>
      <c r="F12" s="532">
        <f>SUM(F7:F11)</f>
        <v>63301.170000000006</v>
      </c>
      <c r="G12" s="533">
        <f>SUM(G7:G11)</f>
        <v>-7598.8299999999981</v>
      </c>
      <c r="H12" s="428"/>
      <c r="I12" s="428"/>
      <c r="J12" s="428"/>
      <c r="K12" s="428"/>
      <c r="L12" s="428"/>
    </row>
    <row r="13" spans="2:12" ht="15.75" thickBot="1">
      <c r="C13" s="433"/>
      <c r="D13" s="8"/>
      <c r="E13" s="7"/>
      <c r="G13" s="8"/>
    </row>
    <row r="14" spans="2:12" ht="15.75">
      <c r="B14" s="431" t="s">
        <v>228</v>
      </c>
      <c r="C14" s="434" t="s">
        <v>13</v>
      </c>
      <c r="D14" s="429" t="s">
        <v>12</v>
      </c>
      <c r="E14" s="478" t="s">
        <v>229</v>
      </c>
      <c r="F14" s="487" t="s">
        <v>230</v>
      </c>
      <c r="G14" s="429" t="s">
        <v>51</v>
      </c>
      <c r="H14" s="428"/>
      <c r="I14" s="428"/>
      <c r="J14" s="428"/>
      <c r="K14" s="428"/>
      <c r="L14" s="428"/>
    </row>
    <row r="15" spans="2:12">
      <c r="B15" s="19" t="s">
        <v>29</v>
      </c>
      <c r="C15" s="488">
        <f>'W1 Forecast'!L20</f>
        <v>0.32</v>
      </c>
      <c r="D15" s="432">
        <f>F7*C15</f>
        <v>14326.131200000002</v>
      </c>
      <c r="E15" s="489">
        <f>'W2 Cost &amp; Sales'!H11</f>
        <v>13816.69</v>
      </c>
      <c r="F15" s="490">
        <f>E15/F7</f>
        <v>0.30862071122174284</v>
      </c>
      <c r="G15" s="484">
        <f>E15-D15</f>
        <v>-509.44120000000112</v>
      </c>
      <c r="J15" s="36"/>
      <c r="K15" s="36"/>
      <c r="L15" s="36"/>
    </row>
    <row r="16" spans="2:12">
      <c r="B16" s="19" t="s">
        <v>24</v>
      </c>
      <c r="C16" s="488">
        <f>'W1 Forecast'!L21</f>
        <v>0.17</v>
      </c>
      <c r="D16" s="432">
        <f t="shared" ref="D16:D19" si="1">F8*C16</f>
        <v>1714.9090000000003</v>
      </c>
      <c r="E16" s="489">
        <f>'W2 Cost &amp; Sales'!H12</f>
        <v>1712.6800000000003</v>
      </c>
      <c r="F16" s="490">
        <f t="shared" ref="F16:F19" si="2">E16/F8</f>
        <v>0.16977903783815937</v>
      </c>
      <c r="G16" s="484">
        <f t="shared" ref="G16:G19" si="3">E16-D16</f>
        <v>-2.2290000000000418</v>
      </c>
      <c r="J16" s="36"/>
      <c r="K16" s="36"/>
    </row>
    <row r="17" spans="2:11">
      <c r="B17" s="19" t="s">
        <v>25</v>
      </c>
      <c r="C17" s="488">
        <f>'W1 Forecast'!L22</f>
        <v>0.19</v>
      </c>
      <c r="D17" s="432">
        <f t="shared" si="1"/>
        <v>312.55189999999999</v>
      </c>
      <c r="E17" s="489">
        <f>'W2 Cost &amp; Sales'!H13</f>
        <v>451.2800000000002</v>
      </c>
      <c r="F17" s="490">
        <f t="shared" si="2"/>
        <v>0.27433267882870027</v>
      </c>
      <c r="G17" s="484">
        <f t="shared" si="3"/>
        <v>138.72810000000021</v>
      </c>
      <c r="J17" s="36"/>
      <c r="K17" s="36"/>
    </row>
    <row r="18" spans="2:11">
      <c r="B18" s="19" t="s">
        <v>26</v>
      </c>
      <c r="C18" s="488">
        <f>'W1 Forecast'!L23</f>
        <v>0.23</v>
      </c>
      <c r="D18" s="432">
        <f t="shared" si="1"/>
        <v>1370.1100000000001</v>
      </c>
      <c r="E18" s="489">
        <f>'W2 Cost &amp; Sales'!H14</f>
        <v>1465.9799999999996</v>
      </c>
      <c r="F18" s="490">
        <f t="shared" si="2"/>
        <v>0.24609367131106255</v>
      </c>
      <c r="G18" s="484">
        <f t="shared" si="3"/>
        <v>95.869999999999436</v>
      </c>
      <c r="J18" s="36"/>
      <c r="K18" s="36"/>
    </row>
    <row r="19" spans="2:11" ht="15.75" thickBot="1">
      <c r="B19" s="19" t="s">
        <v>85</v>
      </c>
      <c r="C19" s="504">
        <f>'W1 Forecast'!L24</f>
        <v>0.12</v>
      </c>
      <c r="D19" s="518">
        <f t="shared" si="1"/>
        <v>101.07599999999999</v>
      </c>
      <c r="E19" s="523">
        <f>'W2 Cost &amp; Sales'!H15</f>
        <v>211.54999999999995</v>
      </c>
      <c r="F19" s="524">
        <f t="shared" si="2"/>
        <v>0.25115754481776087</v>
      </c>
      <c r="G19" s="461">
        <f t="shared" si="3"/>
        <v>110.47399999999996</v>
      </c>
      <c r="J19" s="36"/>
      <c r="K19" s="36"/>
    </row>
    <row r="20" spans="2:11" ht="15.75" thickBot="1">
      <c r="B20" s="430" t="s">
        <v>0</v>
      </c>
      <c r="C20" s="462">
        <f>D20/F12</f>
        <v>0.28158686640389113</v>
      </c>
      <c r="D20" s="502">
        <f>SUM(D15:D19)</f>
        <v>17824.778100000003</v>
      </c>
      <c r="E20" s="521">
        <f>SUM(E15:E19)</f>
        <v>17658.18</v>
      </c>
      <c r="F20" s="522">
        <f>E20/F12</f>
        <v>0.27895503353255552</v>
      </c>
      <c r="G20" s="441">
        <f>SUM(G15:G19)</f>
        <v>-166.59810000000155</v>
      </c>
      <c r="H20" s="428"/>
      <c r="I20" s="428"/>
      <c r="J20" s="428"/>
      <c r="K20" s="493"/>
    </row>
    <row r="21" spans="2:11" ht="15.75" thickBot="1">
      <c r="C21" s="433"/>
      <c r="D21" s="8"/>
      <c r="E21" s="7"/>
      <c r="F21" s="449"/>
      <c r="G21" s="8"/>
    </row>
    <row r="22" spans="2:11" ht="15.75">
      <c r="B22" s="431" t="s">
        <v>201</v>
      </c>
      <c r="C22" s="434" t="s">
        <v>13</v>
      </c>
      <c r="D22" s="429" t="s">
        <v>12</v>
      </c>
      <c r="E22" s="478" t="s">
        <v>229</v>
      </c>
      <c r="F22" s="487" t="s">
        <v>230</v>
      </c>
      <c r="G22" s="429" t="s">
        <v>51</v>
      </c>
      <c r="H22" s="428"/>
      <c r="I22" s="428"/>
      <c r="J22" s="428"/>
      <c r="K22" s="428"/>
    </row>
    <row r="23" spans="2:11">
      <c r="B23" s="19" t="s">
        <v>202</v>
      </c>
      <c r="C23" s="488">
        <f>'W1 Forecast'!C47</f>
        <v>5.0000000000000001E-4</v>
      </c>
      <c r="D23" s="432">
        <f>$F$12*C23</f>
        <v>31.650585000000003</v>
      </c>
      <c r="E23" s="505"/>
      <c r="F23" s="490">
        <f>E23/$F$12</f>
        <v>0</v>
      </c>
      <c r="G23" s="484">
        <f>E23-D23</f>
        <v>-31.650585000000003</v>
      </c>
      <c r="H23" s="428"/>
      <c r="I23" s="428"/>
      <c r="J23" s="452"/>
      <c r="K23" s="428"/>
    </row>
    <row r="24" spans="2:11">
      <c r="B24" s="19" t="s">
        <v>203</v>
      </c>
      <c r="C24" s="488">
        <f>'W1 Forecast'!C48</f>
        <v>0</v>
      </c>
      <c r="D24" s="432">
        <f t="shared" ref="D24:D30" si="4">$F$12*C24</f>
        <v>0</v>
      </c>
      <c r="E24" s="505"/>
      <c r="F24" s="490">
        <f t="shared" ref="F24:F31" si="5">E24/$F$12</f>
        <v>0</v>
      </c>
      <c r="G24" s="484">
        <f t="shared" ref="G24:G30" si="6">E24-D24</f>
        <v>0</v>
      </c>
      <c r="H24" s="428"/>
      <c r="I24" s="428"/>
      <c r="J24" s="428"/>
      <c r="K24" s="428"/>
    </row>
    <row r="25" spans="2:11">
      <c r="B25" s="19" t="s">
        <v>204</v>
      </c>
      <c r="C25" s="488">
        <f>'W1 Forecast'!C49</f>
        <v>3.7000000000000002E-3</v>
      </c>
      <c r="D25" s="432">
        <f t="shared" si="4"/>
        <v>234.21432900000002</v>
      </c>
      <c r="E25" s="505"/>
      <c r="F25" s="490">
        <f t="shared" si="5"/>
        <v>0</v>
      </c>
      <c r="G25" s="484">
        <f t="shared" si="6"/>
        <v>-234.21432900000002</v>
      </c>
      <c r="H25" s="428"/>
      <c r="I25" s="428"/>
      <c r="J25" s="428"/>
      <c r="K25" s="428"/>
    </row>
    <row r="26" spans="2:11">
      <c r="B26" s="19" t="s">
        <v>231</v>
      </c>
      <c r="C26" s="488">
        <f>'W1 Forecast'!C50</f>
        <v>3.5999999999999999E-3</v>
      </c>
      <c r="D26" s="432">
        <f t="shared" si="4"/>
        <v>227.88421200000002</v>
      </c>
      <c r="E26" s="505"/>
      <c r="F26" s="490">
        <f t="shared" si="5"/>
        <v>0</v>
      </c>
      <c r="G26" s="484">
        <f t="shared" si="6"/>
        <v>-227.88421200000002</v>
      </c>
      <c r="H26" s="428"/>
      <c r="I26" s="428"/>
      <c r="J26" s="428"/>
      <c r="K26" s="428"/>
    </row>
    <row r="27" spans="2:11">
      <c r="B27" s="19" t="s">
        <v>206</v>
      </c>
      <c r="C27" s="488">
        <f>'W1 Forecast'!C51</f>
        <v>4.4000000000000003E-3</v>
      </c>
      <c r="D27" s="432">
        <f t="shared" si="4"/>
        <v>278.52514800000006</v>
      </c>
      <c r="E27" s="505"/>
      <c r="F27" s="490">
        <f t="shared" si="5"/>
        <v>0</v>
      </c>
      <c r="G27" s="484">
        <f t="shared" si="6"/>
        <v>-278.52514800000006</v>
      </c>
      <c r="H27" s="428"/>
      <c r="I27" s="428"/>
      <c r="J27" s="428"/>
      <c r="K27" s="428"/>
    </row>
    <row r="28" spans="2:11">
      <c r="B28" s="19" t="s">
        <v>207</v>
      </c>
      <c r="C28" s="488">
        <f>'W1 Forecast'!C52</f>
        <v>3.5000000000000001E-3</v>
      </c>
      <c r="D28" s="432">
        <f t="shared" si="4"/>
        <v>221.55409500000002</v>
      </c>
      <c r="E28" s="505"/>
      <c r="F28" s="490">
        <f t="shared" si="5"/>
        <v>0</v>
      </c>
      <c r="G28" s="484">
        <f t="shared" si="6"/>
        <v>-221.55409500000002</v>
      </c>
    </row>
    <row r="29" spans="2:11">
      <c r="B29" s="19" t="s">
        <v>208</v>
      </c>
      <c r="C29" s="488">
        <f>'W1 Forecast'!C62</f>
        <v>3.0000000000000001E-3</v>
      </c>
      <c r="D29" s="432">
        <f t="shared" si="4"/>
        <v>189.90351000000001</v>
      </c>
      <c r="E29" s="505"/>
      <c r="F29" s="490">
        <f t="shared" si="5"/>
        <v>0</v>
      </c>
      <c r="G29" s="484">
        <f t="shared" si="6"/>
        <v>-189.90351000000001</v>
      </c>
    </row>
    <row r="30" spans="2:11" ht="15.75" thickBot="1">
      <c r="B30" s="19" t="s">
        <v>209</v>
      </c>
      <c r="C30" s="504">
        <f>'W1 Forecast'!C63</f>
        <v>5.0000000000000001E-4</v>
      </c>
      <c r="D30" s="518">
        <f t="shared" si="4"/>
        <v>31.650585000000003</v>
      </c>
      <c r="E30" s="525"/>
      <c r="F30" s="524">
        <f t="shared" si="5"/>
        <v>0</v>
      </c>
      <c r="G30" s="461">
        <f t="shared" si="6"/>
        <v>-31.650585000000003</v>
      </c>
    </row>
    <row r="31" spans="2:11" ht="15.75" thickBot="1">
      <c r="B31" s="430" t="s">
        <v>0</v>
      </c>
      <c r="C31" s="462">
        <f>D31/F12</f>
        <v>1.9200000000000002E-2</v>
      </c>
      <c r="D31" s="441">
        <f>SUM(D23:D30)</f>
        <v>1215.3824640000003</v>
      </c>
      <c r="E31" s="521">
        <f>SUM(E23:E30)</f>
        <v>0</v>
      </c>
      <c r="F31" s="474">
        <f t="shared" si="5"/>
        <v>0</v>
      </c>
      <c r="G31" s="441">
        <f>SUM(G23:G30)</f>
        <v>-1215.3824640000003</v>
      </c>
      <c r="H31" s="428"/>
      <c r="I31" s="428"/>
      <c r="J31" s="428"/>
      <c r="K31" s="428"/>
    </row>
    <row r="32" spans="2:11" ht="15.75" thickBot="1">
      <c r="C32" s="433"/>
      <c r="D32" s="8"/>
      <c r="E32" s="494"/>
      <c r="F32" s="449"/>
      <c r="G32" s="8"/>
    </row>
    <row r="33" spans="1:13">
      <c r="B33" s="19" t="s">
        <v>210</v>
      </c>
      <c r="C33" s="473">
        <f>'W1 Forecast'!C66</f>
        <v>1.04E-2</v>
      </c>
      <c r="D33" s="535">
        <f>$F$12*C33</f>
        <v>658.33216800000002</v>
      </c>
      <c r="E33" s="536"/>
      <c r="F33" s="539">
        <f>E33/$F$12</f>
        <v>0</v>
      </c>
      <c r="G33" s="540">
        <f>E33-D33</f>
        <v>-658.33216800000002</v>
      </c>
    </row>
    <row r="34" spans="1:13">
      <c r="B34" s="19" t="s">
        <v>211</v>
      </c>
      <c r="C34" s="436">
        <f>'W1 Forecast'!C67</f>
        <v>7.4999999999999997E-3</v>
      </c>
      <c r="D34" s="432">
        <f t="shared" ref="D34:D36" si="7">$F$12*C34</f>
        <v>474.75877500000001</v>
      </c>
      <c r="E34" s="471"/>
      <c r="F34" s="490">
        <f t="shared" ref="F34:F36" si="8">E34/$F$12</f>
        <v>0</v>
      </c>
      <c r="G34" s="484">
        <f t="shared" ref="G34:G36" si="9">E34-D34</f>
        <v>-474.75877500000001</v>
      </c>
    </row>
    <row r="35" spans="1:13">
      <c r="B35" s="19" t="s">
        <v>212</v>
      </c>
      <c r="C35" s="436">
        <f>'W1 Forecast'!C68</f>
        <v>1.3899999999999999E-2</v>
      </c>
      <c r="D35" s="432">
        <f t="shared" si="7"/>
        <v>879.88626299999999</v>
      </c>
      <c r="E35" s="471"/>
      <c r="F35" s="490">
        <f t="shared" si="8"/>
        <v>0</v>
      </c>
      <c r="G35" s="484">
        <f t="shared" si="9"/>
        <v>-879.88626299999999</v>
      </c>
    </row>
    <row r="36" spans="1:13" ht="15.75" thickBot="1">
      <c r="B36" s="19" t="s">
        <v>213</v>
      </c>
      <c r="C36" s="503">
        <f>'W1 Forecast'!C69</f>
        <v>0.04</v>
      </c>
      <c r="D36" s="518">
        <f t="shared" si="7"/>
        <v>2532.0468000000001</v>
      </c>
      <c r="E36" s="537">
        <f>D36</f>
        <v>2532.0468000000001</v>
      </c>
      <c r="F36" s="524">
        <f t="shared" si="8"/>
        <v>0.04</v>
      </c>
      <c r="G36" s="461">
        <f t="shared" si="9"/>
        <v>0</v>
      </c>
    </row>
    <row r="37" spans="1:13" ht="15.75" thickBot="1">
      <c r="A37" s="428"/>
      <c r="B37" s="430" t="s">
        <v>214</v>
      </c>
      <c r="C37" s="462">
        <f>D37/F12</f>
        <v>7.1799999999999989E-2</v>
      </c>
      <c r="D37" s="502">
        <f>SUM(D33:D36)</f>
        <v>4545.0240059999996</v>
      </c>
      <c r="E37" s="538">
        <f>SUM(E33:E36)</f>
        <v>2532.0468000000001</v>
      </c>
      <c r="F37" s="522">
        <f>E37/F12</f>
        <v>0.04</v>
      </c>
      <c r="G37" s="441">
        <f>SUM(G33:G36)</f>
        <v>-2012.977206</v>
      </c>
      <c r="H37" s="428"/>
      <c r="I37" s="428"/>
      <c r="J37" s="428"/>
      <c r="K37" s="428"/>
      <c r="L37" s="428"/>
      <c r="M37" s="428"/>
    </row>
    <row r="38" spans="1:13" ht="15.75" thickBot="1">
      <c r="C38" s="433"/>
      <c r="D38" s="8"/>
      <c r="E38" s="7"/>
      <c r="F38" s="449"/>
      <c r="G38" s="8"/>
      <c r="M38" s="449"/>
    </row>
    <row r="39" spans="1:13" ht="15.75">
      <c r="A39" s="428"/>
      <c r="B39" s="431" t="s">
        <v>215</v>
      </c>
      <c r="C39" s="434" t="s">
        <v>13</v>
      </c>
      <c r="D39" s="429" t="s">
        <v>12</v>
      </c>
      <c r="E39" s="478" t="s">
        <v>229</v>
      </c>
      <c r="F39" s="487" t="s">
        <v>230</v>
      </c>
      <c r="G39" s="429" t="s">
        <v>51</v>
      </c>
      <c r="H39" s="428"/>
      <c r="I39" s="428"/>
      <c r="J39" s="428"/>
      <c r="K39" s="428"/>
      <c r="L39" s="428"/>
      <c r="M39" s="428"/>
    </row>
    <row r="40" spans="1:13">
      <c r="B40" s="19" t="s">
        <v>216</v>
      </c>
      <c r="C40" s="436">
        <f>D40/F12</f>
        <v>3.0761240274073922E-2</v>
      </c>
      <c r="D40" s="506">
        <f>'W1 Forecast'!D73</f>
        <v>1947.2225000000001</v>
      </c>
      <c r="E40" s="507">
        <f>D40</f>
        <v>1947.2225000000001</v>
      </c>
      <c r="F40" s="490">
        <f>E40/$F$12</f>
        <v>3.0761240274073922E-2</v>
      </c>
      <c r="G40" s="484">
        <f>E40-D40</f>
        <v>0</v>
      </c>
      <c r="J40" s="450"/>
      <c r="K40" s="496"/>
      <c r="L40" s="496"/>
      <c r="M40" s="449"/>
    </row>
    <row r="41" spans="1:13">
      <c r="B41" s="19" t="s">
        <v>17</v>
      </c>
      <c r="C41" s="436">
        <f>D41/F12</f>
        <v>4.4050686582886224E-2</v>
      </c>
      <c r="D41" s="506">
        <f>'W2 Cost &amp; Sales'!I30</f>
        <v>2788.46</v>
      </c>
      <c r="E41" s="507">
        <f>D41</f>
        <v>2788.46</v>
      </c>
      <c r="F41" s="490">
        <f t="shared" ref="F41:F46" si="10">E41/$F$12</f>
        <v>4.4050686582886224E-2</v>
      </c>
      <c r="G41" s="484">
        <f t="shared" ref="G41:G46" si="11">E41-D41</f>
        <v>0</v>
      </c>
      <c r="J41" s="450"/>
    </row>
    <row r="42" spans="1:13">
      <c r="B42" s="19" t="s">
        <v>217</v>
      </c>
      <c r="C42" s="436">
        <f>'W1 Forecast'!C75</f>
        <v>8.8300000000000003E-2</v>
      </c>
      <c r="D42" s="432">
        <f>F12*C42</f>
        <v>5589.4933110000011</v>
      </c>
      <c r="E42" s="508">
        <f>SUM('W2 Cost &amp; Sales'!I31:I38)</f>
        <v>6559.28</v>
      </c>
      <c r="F42" s="490">
        <f t="shared" si="10"/>
        <v>0.10362020164872149</v>
      </c>
      <c r="G42" s="484">
        <f t="shared" si="11"/>
        <v>969.78668899999866</v>
      </c>
      <c r="J42" s="450"/>
      <c r="M42" s="497"/>
    </row>
    <row r="43" spans="1:13">
      <c r="B43" s="19" t="s">
        <v>16</v>
      </c>
      <c r="C43" s="436">
        <f>D43/F12</f>
        <v>3.6577207024767473E-2</v>
      </c>
      <c r="D43" s="506">
        <f>'W2 Cost &amp; Sales'!I40</f>
        <v>2315.38</v>
      </c>
      <c r="E43" s="507">
        <f>D43</f>
        <v>2315.38</v>
      </c>
      <c r="F43" s="490">
        <f t="shared" si="10"/>
        <v>3.6577207024767473E-2</v>
      </c>
      <c r="G43" s="484">
        <f t="shared" si="11"/>
        <v>0</v>
      </c>
      <c r="J43" s="450"/>
    </row>
    <row r="44" spans="1:13">
      <c r="B44" s="19" t="s">
        <v>218</v>
      </c>
      <c r="C44" s="436">
        <f>'W1 Forecast'!C77</f>
        <v>8.4800000000000014E-2</v>
      </c>
      <c r="D44" s="432">
        <f>F12*C44</f>
        <v>5367.9392160000016</v>
      </c>
      <c r="E44" s="508">
        <f>SUM('W2 Cost &amp; Sales'!I41:I48)</f>
        <v>3990.7999999999997</v>
      </c>
      <c r="F44" s="490">
        <f t="shared" si="10"/>
        <v>6.3044648305868589E-2</v>
      </c>
      <c r="G44" s="484">
        <f t="shared" si="11"/>
        <v>-1377.1392160000019</v>
      </c>
      <c r="J44" s="450"/>
    </row>
    <row r="45" spans="1:13">
      <c r="B45" s="19" t="s">
        <v>219</v>
      </c>
      <c r="C45" s="436">
        <f>D45/F12</f>
        <v>0</v>
      </c>
      <c r="D45" s="506">
        <f>'W1 Forecast'!D78</f>
        <v>0</v>
      </c>
      <c r="E45" s="507">
        <f>D45</f>
        <v>0</v>
      </c>
      <c r="F45" s="490">
        <f t="shared" si="10"/>
        <v>0</v>
      </c>
      <c r="G45" s="484">
        <f t="shared" si="11"/>
        <v>0</v>
      </c>
    </row>
    <row r="46" spans="1:13" ht="15.75" thickBot="1">
      <c r="A46" s="520">
        <f>'W1 Forecast'!F79</f>
        <v>0.2525</v>
      </c>
      <c r="B46" s="19" t="s">
        <v>220</v>
      </c>
      <c r="C46" s="503">
        <f>D46/F12</f>
        <v>7.1833506305136241E-2</v>
      </c>
      <c r="D46" s="461">
        <f>SUM(D40:D44)*A46</f>
        <v>4547.1449943175012</v>
      </c>
      <c r="E46" s="528">
        <f>SUM(E40:E44)*A46</f>
        <v>4444.2884812499997</v>
      </c>
      <c r="F46" s="524">
        <f t="shared" si="10"/>
        <v>7.0208630918670217E-2</v>
      </c>
      <c r="G46" s="461">
        <f t="shared" si="11"/>
        <v>-102.85651306750151</v>
      </c>
      <c r="H46" s="450"/>
    </row>
    <row r="47" spans="1:13" ht="15.75" thickBot="1">
      <c r="A47" s="428"/>
      <c r="B47" s="430" t="s">
        <v>18</v>
      </c>
      <c r="C47" s="462">
        <f>D47/F12</f>
        <v>0.35632264018686394</v>
      </c>
      <c r="D47" s="441">
        <f>SUM(D40:D46)</f>
        <v>22555.640021317507</v>
      </c>
      <c r="E47" s="527">
        <f>SUM(E40:E46)</f>
        <v>22045.43098125</v>
      </c>
      <c r="F47" s="522">
        <f>E47/F12</f>
        <v>0.34826261475498793</v>
      </c>
      <c r="G47" s="441">
        <f>SUM(G40:G46)</f>
        <v>-510.2090400675047</v>
      </c>
      <c r="H47" s="428"/>
      <c r="I47" s="428"/>
      <c r="J47" s="428"/>
      <c r="K47" s="428"/>
      <c r="L47" s="428"/>
      <c r="M47" s="428"/>
    </row>
    <row r="48" spans="1:13" ht="15.75" thickBot="1">
      <c r="C48" s="433"/>
      <c r="D48" s="8"/>
      <c r="E48" s="7"/>
      <c r="F48" s="449"/>
      <c r="G48" s="8"/>
    </row>
    <row r="49" spans="2:9">
      <c r="B49" s="19" t="s">
        <v>221</v>
      </c>
      <c r="C49" s="437">
        <f>'W1 Forecast'!C82</f>
        <v>8.4099999999999994E-2</v>
      </c>
      <c r="D49" s="509">
        <f>F12*C49</f>
        <v>5323.6283970000004</v>
      </c>
      <c r="E49" s="510">
        <f>D49</f>
        <v>5323.6283970000004</v>
      </c>
      <c r="F49" s="495">
        <f>E49/F12</f>
        <v>8.4099999999999994E-2</v>
      </c>
      <c r="G49" s="540">
        <f>E49-D49</f>
        <v>0</v>
      </c>
    </row>
    <row r="50" spans="2:9">
      <c r="B50" s="19" t="s">
        <v>166</v>
      </c>
      <c r="C50" s="436">
        <f>'W1 Forecast'!C83</f>
        <v>1.0999999999999999E-2</v>
      </c>
      <c r="D50" s="432">
        <f>F12*C50</f>
        <v>696.31286999999998</v>
      </c>
      <c r="E50" s="517"/>
      <c r="F50" s="490">
        <f>E50/F12</f>
        <v>0</v>
      </c>
      <c r="G50" s="484">
        <f t="shared" ref="G50:G51" si="12">E50-D50</f>
        <v>-696.31286999999998</v>
      </c>
    </row>
    <row r="51" spans="2:9" ht="15.75" thickBot="1">
      <c r="B51" s="19" t="s">
        <v>222</v>
      </c>
      <c r="C51" s="503">
        <f>D51/F12</f>
        <v>0.1431648103818618</v>
      </c>
      <c r="D51" s="519">
        <f>'W1 Forecast'!D84</f>
        <v>9062.5</v>
      </c>
      <c r="E51" s="529">
        <f>D51</f>
        <v>9062.5</v>
      </c>
      <c r="F51" s="524">
        <f>E51/F12</f>
        <v>0.1431648103818618</v>
      </c>
      <c r="G51" s="461">
        <f t="shared" si="12"/>
        <v>0</v>
      </c>
    </row>
    <row r="52" spans="2:9" ht="15.75" thickBot="1">
      <c r="B52" s="430" t="s">
        <v>224</v>
      </c>
      <c r="C52" s="462">
        <f>D52/F12</f>
        <v>0.23826481038186181</v>
      </c>
      <c r="D52" s="441">
        <f>SUM(D49:D51)</f>
        <v>15082.441267</v>
      </c>
      <c r="E52" s="521">
        <f>SUM(E49:E51)</f>
        <v>14386.128397</v>
      </c>
      <c r="F52" s="522">
        <f>E52/F12</f>
        <v>0.2272648103818618</v>
      </c>
      <c r="G52" s="441">
        <f>SUM(G49:G51)</f>
        <v>-696.31286999999998</v>
      </c>
      <c r="H52" s="428"/>
      <c r="I52" s="428"/>
    </row>
    <row r="53" spans="2:9">
      <c r="C53" s="433"/>
      <c r="D53" s="8"/>
      <c r="E53" s="7"/>
      <c r="F53" s="449"/>
      <c r="G53" s="8"/>
    </row>
    <row r="54" spans="2:9">
      <c r="C54" s="438" t="s">
        <v>13</v>
      </c>
      <c r="D54" s="439" t="s">
        <v>12</v>
      </c>
      <c r="E54" s="499" t="s">
        <v>229</v>
      </c>
      <c r="F54" s="500" t="s">
        <v>230</v>
      </c>
      <c r="G54" s="439" t="s">
        <v>51</v>
      </c>
    </row>
    <row r="55" spans="2:9" ht="15.75" thickBot="1">
      <c r="B55" s="430" t="s">
        <v>225</v>
      </c>
      <c r="C55" s="435">
        <f>D55/F12</f>
        <v>3.2825683027383111E-2</v>
      </c>
      <c r="D55" s="492">
        <f>F12-D20-D31-D37-D47-D52</f>
        <v>2077.904141682493</v>
      </c>
      <c r="E55" s="498">
        <f>F12-E20-E31-E37-E47-E52</f>
        <v>6679.3838217500088</v>
      </c>
      <c r="F55" s="491">
        <f>E55/F12</f>
        <v>0.10551754133059481</v>
      </c>
      <c r="G55" s="492">
        <f>E55-D55</f>
        <v>4601.4796800675158</v>
      </c>
      <c r="H55" s="428"/>
      <c r="I55" s="501"/>
    </row>
    <row r="56" spans="2:9">
      <c r="E56" s="36"/>
      <c r="F56" s="449"/>
    </row>
    <row r="57" spans="2:9">
      <c r="B57" s="511"/>
      <c r="C57" t="s">
        <v>232</v>
      </c>
    </row>
    <row r="58" spans="2:9">
      <c r="B58" s="512"/>
      <c r="C58" t="s">
        <v>233</v>
      </c>
    </row>
    <row r="59" spans="2:9">
      <c r="B59" s="513"/>
      <c r="C59" t="s">
        <v>234</v>
      </c>
    </row>
    <row r="60" spans="2:9">
      <c r="B60" s="514"/>
      <c r="C60" t="s">
        <v>234</v>
      </c>
    </row>
    <row r="61" spans="2:9">
      <c r="B61" s="515"/>
      <c r="C61" t="s">
        <v>235</v>
      </c>
    </row>
    <row r="62" spans="2:9">
      <c r="F62" s="449"/>
    </row>
    <row r="63" spans="2:9">
      <c r="F63" s="449"/>
    </row>
    <row r="64" spans="2:9">
      <c r="F64" s="449"/>
    </row>
    <row r="65" spans="6:6">
      <c r="F65" s="449"/>
    </row>
    <row r="66" spans="6:6">
      <c r="F66" s="449"/>
    </row>
    <row r="67" spans="6:6">
      <c r="F67" s="449"/>
    </row>
    <row r="68" spans="6:6">
      <c r="F68" s="449"/>
    </row>
    <row r="69" spans="6:6">
      <c r="F69" s="449"/>
    </row>
    <row r="70" spans="6:6">
      <c r="F70" s="449"/>
    </row>
    <row r="71" spans="6:6">
      <c r="F71" s="449"/>
    </row>
    <row r="72" spans="6:6">
      <c r="F72" s="449"/>
    </row>
    <row r="73" spans="6:6">
      <c r="F73" s="449"/>
    </row>
    <row r="74" spans="6:6">
      <c r="F74" s="449"/>
    </row>
    <row r="75" spans="6:6">
      <c r="F75" s="449"/>
    </row>
    <row r="76" spans="6:6">
      <c r="F76" s="449"/>
    </row>
    <row r="77" spans="6:6">
      <c r="F77" s="449"/>
    </row>
    <row r="78" spans="6:6">
      <c r="F78" s="449"/>
    </row>
    <row r="79" spans="6:6">
      <c r="F79" s="449"/>
    </row>
    <row r="80" spans="6:6">
      <c r="F80" s="449"/>
    </row>
    <row r="81" spans="6:6">
      <c r="F81" s="449"/>
    </row>
    <row r="82" spans="6:6">
      <c r="F82" s="449"/>
    </row>
    <row r="83" spans="6:6">
      <c r="F83" s="449"/>
    </row>
    <row r="84" spans="6:6">
      <c r="F84" s="449"/>
    </row>
    <row r="85" spans="6:6">
      <c r="F85" s="449"/>
    </row>
    <row r="86" spans="6:6">
      <c r="F86" s="449"/>
    </row>
    <row r="87" spans="6:6">
      <c r="F87" s="449"/>
    </row>
    <row r="88" spans="6:6">
      <c r="F88" s="449"/>
    </row>
    <row r="89" spans="6:6">
      <c r="F89" s="449"/>
    </row>
    <row r="90" spans="6:6">
      <c r="F90" s="449"/>
    </row>
    <row r="91" spans="6:6">
      <c r="F91" s="449"/>
    </row>
    <row r="92" spans="6:6">
      <c r="F92" s="449"/>
    </row>
    <row r="93" spans="6:6">
      <c r="F93" s="449"/>
    </row>
    <row r="94" spans="6:6">
      <c r="F94" s="449"/>
    </row>
    <row r="95" spans="6:6">
      <c r="F95" s="449"/>
    </row>
    <row r="96" spans="6:6">
      <c r="F96" s="449"/>
    </row>
    <row r="97" spans="6:6">
      <c r="F97" s="449"/>
    </row>
    <row r="98" spans="6:6">
      <c r="F98" s="449"/>
    </row>
    <row r="99" spans="6:6">
      <c r="F99" s="449"/>
    </row>
    <row r="100" spans="6:6">
      <c r="F100" s="449"/>
    </row>
    <row r="101" spans="6:6">
      <c r="F101" s="449"/>
    </row>
    <row r="102" spans="6:6">
      <c r="F102" s="449"/>
    </row>
    <row r="103" spans="6:6">
      <c r="F103" s="449"/>
    </row>
    <row r="104" spans="6:6">
      <c r="F104" s="449"/>
    </row>
    <row r="105" spans="6:6">
      <c r="F105" s="449"/>
    </row>
    <row r="106" spans="6:6">
      <c r="F106" s="449"/>
    </row>
    <row r="107" spans="6:6">
      <c r="F107" s="449"/>
    </row>
    <row r="108" spans="6:6">
      <c r="F108" s="449"/>
    </row>
    <row r="109" spans="6:6">
      <c r="F109" s="449"/>
    </row>
    <row r="110" spans="6:6">
      <c r="F110" s="449"/>
    </row>
    <row r="111" spans="6:6">
      <c r="F111" s="449"/>
    </row>
    <row r="112" spans="6:6">
      <c r="F112" s="449"/>
    </row>
    <row r="113" spans="6:6">
      <c r="F113" s="449"/>
    </row>
    <row r="114" spans="6:6">
      <c r="F114" s="449"/>
    </row>
    <row r="115" spans="6:6">
      <c r="F115" s="449"/>
    </row>
    <row r="116" spans="6:6">
      <c r="F116" s="449"/>
    </row>
    <row r="117" spans="6:6">
      <c r="F117" s="449"/>
    </row>
    <row r="118" spans="6:6">
      <c r="F118" s="449"/>
    </row>
    <row r="119" spans="6:6">
      <c r="F119" s="449"/>
    </row>
    <row r="120" spans="6:6">
      <c r="F120" s="449"/>
    </row>
    <row r="121" spans="6:6">
      <c r="F121" s="449"/>
    </row>
    <row r="122" spans="6:6">
      <c r="F122" s="449"/>
    </row>
    <row r="123" spans="6:6">
      <c r="F123" s="449"/>
    </row>
    <row r="124" spans="6:6">
      <c r="F124" s="449"/>
    </row>
    <row r="125" spans="6:6">
      <c r="F125" s="449"/>
    </row>
    <row r="126" spans="6:6">
      <c r="F126" s="449"/>
    </row>
    <row r="127" spans="6:6">
      <c r="F127" s="449"/>
    </row>
    <row r="128" spans="6:6">
      <c r="F128" s="449"/>
    </row>
    <row r="129" spans="6:6">
      <c r="F129" s="449"/>
    </row>
    <row r="130" spans="6:6">
      <c r="F130" s="449"/>
    </row>
    <row r="131" spans="6:6">
      <c r="F131" s="449"/>
    </row>
    <row r="132" spans="6:6">
      <c r="F132" s="449"/>
    </row>
    <row r="133" spans="6:6">
      <c r="F133" s="449"/>
    </row>
    <row r="134" spans="6:6">
      <c r="F134" s="449"/>
    </row>
    <row r="135" spans="6:6">
      <c r="F135" s="449"/>
    </row>
    <row r="136" spans="6:6">
      <c r="F136" s="449"/>
    </row>
    <row r="137" spans="6:6">
      <c r="F137" s="449"/>
    </row>
    <row r="138" spans="6:6">
      <c r="F138" s="449"/>
    </row>
    <row r="139" spans="6:6">
      <c r="F139" s="449"/>
    </row>
    <row r="140" spans="6:6">
      <c r="F140" s="449"/>
    </row>
    <row r="141" spans="6:6">
      <c r="F141" s="449"/>
    </row>
    <row r="142" spans="6:6">
      <c r="F142" s="449"/>
    </row>
    <row r="143" spans="6:6">
      <c r="F143" s="449"/>
    </row>
    <row r="144" spans="6:6">
      <c r="F144" s="449"/>
    </row>
    <row r="145" spans="6:6">
      <c r="F145" s="449"/>
    </row>
    <row r="146" spans="6:6">
      <c r="F146" s="449"/>
    </row>
    <row r="147" spans="6:6">
      <c r="F147" s="449"/>
    </row>
    <row r="148" spans="6:6">
      <c r="F148" s="449"/>
    </row>
    <row r="149" spans="6:6">
      <c r="F149" s="449"/>
    </row>
    <row r="150" spans="6:6">
      <c r="F150" s="449"/>
    </row>
    <row r="151" spans="6:6">
      <c r="F151" s="449"/>
    </row>
    <row r="152" spans="6:6">
      <c r="F152" s="449"/>
    </row>
    <row r="153" spans="6:6">
      <c r="F153" s="449"/>
    </row>
    <row r="154" spans="6:6">
      <c r="F154" s="449"/>
    </row>
    <row r="155" spans="6:6">
      <c r="F155" s="449"/>
    </row>
    <row r="156" spans="6:6">
      <c r="F156" s="449"/>
    </row>
    <row r="157" spans="6:6">
      <c r="F157" s="449"/>
    </row>
    <row r="158" spans="6:6">
      <c r="F158" s="449"/>
    </row>
    <row r="159" spans="6:6">
      <c r="F159" s="449"/>
    </row>
    <row r="160" spans="6:6">
      <c r="F160" s="449"/>
    </row>
    <row r="161" spans="6:6">
      <c r="F161" s="449"/>
    </row>
    <row r="162" spans="6:6">
      <c r="F162" s="449"/>
    </row>
  </sheetData>
  <mergeCells count="2">
    <mergeCell ref="C2:D2"/>
    <mergeCell ref="C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88"/>
  <sheetViews>
    <sheetView topLeftCell="B1" workbookViewId="0">
      <selection activeCell="F8" sqref="F8"/>
    </sheetView>
  </sheetViews>
  <sheetFormatPr defaultRowHeight="15"/>
  <cols>
    <col min="1" max="1" width="3.85546875" customWidth="1"/>
    <col min="2" max="2" width="17.85546875" style="3" customWidth="1"/>
    <col min="3" max="3" width="11.42578125" customWidth="1"/>
    <col min="4" max="4" width="11.28515625" bestFit="1" customWidth="1"/>
    <col min="5" max="5" width="11.7109375" customWidth="1"/>
    <col min="6" max="8" width="10.5703125" customWidth="1"/>
    <col min="9" max="9" width="11.28515625" customWidth="1"/>
    <col min="10" max="10" width="10.5703125" customWidth="1"/>
    <col min="11" max="11" width="10.5703125" bestFit="1" customWidth="1"/>
    <col min="13" max="13" width="9.140625" customWidth="1"/>
  </cols>
  <sheetData>
    <row r="1" spans="1:15" ht="22.5" customHeight="1" thickBot="1">
      <c r="A1" t="s">
        <v>19</v>
      </c>
    </row>
    <row r="2" spans="1:15" ht="15.75" thickBot="1">
      <c r="E2" s="3" t="s">
        <v>20</v>
      </c>
      <c r="F2" s="940" t="str">
        <f>'W1 Forecast'!F2</f>
        <v>Max Fish</v>
      </c>
      <c r="G2" s="941"/>
      <c r="I2" s="19"/>
      <c r="J2" s="4"/>
    </row>
    <row r="3" spans="1:15" ht="16.5" thickBot="1">
      <c r="D3" s="140" t="s">
        <v>21</v>
      </c>
      <c r="E3" s="148">
        <f>'W1 Forecast'!E3</f>
        <v>2</v>
      </c>
      <c r="F3" s="143" t="s">
        <v>87</v>
      </c>
      <c r="G3" s="148">
        <f>'W2 Forecast'!G3+1</f>
        <v>3</v>
      </c>
    </row>
    <row r="4" spans="1:15" ht="17.25" customHeight="1" thickBot="1"/>
    <row r="5" spans="1:15" ht="24" customHeight="1" thickBot="1">
      <c r="A5" s="5"/>
      <c r="B5" s="195"/>
      <c r="C5" s="942" t="s">
        <v>23</v>
      </c>
      <c r="D5" s="942"/>
      <c r="E5" s="942"/>
      <c r="F5" s="942"/>
      <c r="G5" s="942"/>
      <c r="H5" s="942"/>
      <c r="I5" s="942"/>
      <c r="J5" s="16"/>
      <c r="K5" s="6"/>
    </row>
    <row r="6" spans="1:15" ht="15.75" thickBot="1">
      <c r="A6" s="7"/>
      <c r="B6" s="19"/>
      <c r="C6" s="943" t="s">
        <v>19</v>
      </c>
      <c r="D6" s="944"/>
      <c r="E6" s="945"/>
      <c r="F6" s="874">
        <f>'W1 Forecast'!F6:I6</f>
        <v>2021</v>
      </c>
      <c r="G6" s="874"/>
      <c r="H6" s="874"/>
      <c r="I6" s="875"/>
      <c r="K6" s="8"/>
      <c r="N6" s="35"/>
      <c r="O6" s="34"/>
    </row>
    <row r="7" spans="1:15" ht="15.75" thickBot="1">
      <c r="A7" s="7"/>
      <c r="B7" s="19"/>
      <c r="C7" s="320">
        <v>2014</v>
      </c>
      <c r="D7" s="321">
        <v>2015</v>
      </c>
      <c r="E7" s="322">
        <v>2016</v>
      </c>
      <c r="F7" s="323" t="s">
        <v>91</v>
      </c>
      <c r="G7" s="321" t="s">
        <v>92</v>
      </c>
      <c r="H7" s="321" t="s">
        <v>102</v>
      </c>
      <c r="I7" s="322" t="s">
        <v>2</v>
      </c>
      <c r="K7" s="196" t="s">
        <v>19</v>
      </c>
      <c r="N7" s="36"/>
      <c r="O7" s="34"/>
    </row>
    <row r="8" spans="1:15">
      <c r="A8" s="7"/>
      <c r="B8" s="19" t="s">
        <v>94</v>
      </c>
      <c r="C8" s="221"/>
      <c r="D8" s="222"/>
      <c r="E8" s="223"/>
      <c r="F8" s="221">
        <f>'Sales History &amp; Forecast'!AJ52</f>
        <v>1500</v>
      </c>
      <c r="G8" s="221">
        <f>'Sales History &amp; Forecast'!AK52</f>
        <v>4000</v>
      </c>
      <c r="H8" s="221">
        <f>'Sales History &amp; Forecast'!AL52</f>
        <v>0</v>
      </c>
      <c r="I8" s="223">
        <f>SUM(F8:H8)</f>
        <v>5500</v>
      </c>
      <c r="J8" s="197">
        <f>'W2 Forecast'!J14+1</f>
        <v>44235</v>
      </c>
      <c r="K8" s="8"/>
      <c r="O8" s="34"/>
    </row>
    <row r="9" spans="1:15" ht="15" customHeight="1">
      <c r="A9" s="7"/>
      <c r="B9" s="19" t="s">
        <v>95</v>
      </c>
      <c r="C9" s="221"/>
      <c r="D9" s="222"/>
      <c r="E9" s="223"/>
      <c r="F9" s="221">
        <f>'Sales History &amp; Forecast'!AJ53</f>
        <v>1700</v>
      </c>
      <c r="G9" s="221">
        <f>'Sales History &amp; Forecast'!AK53</f>
        <v>4000</v>
      </c>
      <c r="H9" s="221">
        <f>'Sales History &amp; Forecast'!AL53</f>
        <v>0</v>
      </c>
      <c r="I9" s="224">
        <f t="shared" ref="I9:I14" si="0">SUM(F9:H9)</f>
        <v>5700</v>
      </c>
      <c r="J9" s="197">
        <f t="shared" ref="J9:J14" si="1">J8+1</f>
        <v>44236</v>
      </c>
      <c r="K9" s="8"/>
    </row>
    <row r="10" spans="1:15">
      <c r="A10" s="7"/>
      <c r="B10" s="19" t="s">
        <v>96</v>
      </c>
      <c r="C10" s="221"/>
      <c r="D10" s="222"/>
      <c r="E10" s="223"/>
      <c r="F10" s="221">
        <f>'Sales History &amp; Forecast'!AJ54</f>
        <v>1700</v>
      </c>
      <c r="G10" s="221">
        <f>'Sales History &amp; Forecast'!AK54</f>
        <v>8500</v>
      </c>
      <c r="H10" s="221">
        <f>'Sales History &amp; Forecast'!AL54</f>
        <v>0</v>
      </c>
      <c r="I10" s="224">
        <f t="shared" si="0"/>
        <v>10200</v>
      </c>
      <c r="J10" s="197">
        <f t="shared" si="1"/>
        <v>44237</v>
      </c>
      <c r="K10" s="8"/>
    </row>
    <row r="11" spans="1:15">
      <c r="A11" s="7"/>
      <c r="B11" s="19" t="s">
        <v>97</v>
      </c>
      <c r="C11" s="221"/>
      <c r="D11" s="222"/>
      <c r="E11" s="223"/>
      <c r="F11" s="221">
        <f>'Sales History &amp; Forecast'!AJ55</f>
        <v>1700</v>
      </c>
      <c r="G11" s="221">
        <f>'Sales History &amp; Forecast'!AK55</f>
        <v>5000</v>
      </c>
      <c r="H11" s="221">
        <f>'Sales History &amp; Forecast'!AL55</f>
        <v>0</v>
      </c>
      <c r="I11" s="224">
        <f t="shared" si="0"/>
        <v>6700</v>
      </c>
      <c r="J11" s="197">
        <f t="shared" si="1"/>
        <v>44238</v>
      </c>
      <c r="K11" s="8"/>
    </row>
    <row r="12" spans="1:15">
      <c r="A12" s="7"/>
      <c r="B12" s="19" t="s">
        <v>98</v>
      </c>
      <c r="C12" s="221"/>
      <c r="D12" s="222"/>
      <c r="E12" s="223"/>
      <c r="F12" s="221">
        <f>'Sales History &amp; Forecast'!AJ56</f>
        <v>3500</v>
      </c>
      <c r="G12" s="221">
        <f>'Sales History &amp; Forecast'!AK56</f>
        <v>16000</v>
      </c>
      <c r="H12" s="221">
        <f>'Sales History &amp; Forecast'!AL56</f>
        <v>2500</v>
      </c>
      <c r="I12" s="224">
        <f t="shared" si="0"/>
        <v>22000</v>
      </c>
      <c r="J12" s="197">
        <f t="shared" si="1"/>
        <v>44239</v>
      </c>
      <c r="K12" s="8"/>
    </row>
    <row r="13" spans="1:15">
      <c r="A13" s="7"/>
      <c r="B13" s="19" t="s">
        <v>99</v>
      </c>
      <c r="C13" s="221"/>
      <c r="D13" s="222"/>
      <c r="E13" s="223"/>
      <c r="F13" s="221">
        <f>'Sales History &amp; Forecast'!AJ57</f>
        <v>3000</v>
      </c>
      <c r="G13" s="221">
        <f>'Sales History &amp; Forecast'!AK57</f>
        <v>17000</v>
      </c>
      <c r="H13" s="221">
        <f>'Sales History &amp; Forecast'!AL57</f>
        <v>2500</v>
      </c>
      <c r="I13" s="224">
        <f t="shared" si="0"/>
        <v>22500</v>
      </c>
      <c r="J13" s="197">
        <f t="shared" si="1"/>
        <v>44240</v>
      </c>
      <c r="K13" s="8"/>
    </row>
    <row r="14" spans="1:15" ht="15.75" thickBot="1">
      <c r="A14" s="7"/>
      <c r="B14" s="19" t="s">
        <v>100</v>
      </c>
      <c r="C14" s="221"/>
      <c r="D14" s="222"/>
      <c r="E14" s="223"/>
      <c r="F14" s="221">
        <f>'Sales History &amp; Forecast'!AJ58</f>
        <v>6000</v>
      </c>
      <c r="G14" s="221">
        <f>'Sales History &amp; Forecast'!AK58</f>
        <v>15000</v>
      </c>
      <c r="H14" s="221">
        <f>'Sales History &amp; Forecast'!AL58</f>
        <v>6000</v>
      </c>
      <c r="I14" s="225">
        <f t="shared" si="0"/>
        <v>27000</v>
      </c>
      <c r="J14" s="197">
        <f t="shared" si="1"/>
        <v>44241</v>
      </c>
      <c r="K14" s="8"/>
    </row>
    <row r="15" spans="1:15" ht="15.75" thickBot="1">
      <c r="A15" s="7"/>
      <c r="B15" s="19" t="s">
        <v>0</v>
      </c>
      <c r="C15" s="198">
        <f>SUM(C8:C14)</f>
        <v>0</v>
      </c>
      <c r="D15" s="199">
        <f t="shared" ref="D15:H15" si="2">SUM(D8:D14)</f>
        <v>0</v>
      </c>
      <c r="E15" s="200">
        <f t="shared" si="2"/>
        <v>0</v>
      </c>
      <c r="F15" s="198">
        <f t="shared" si="2"/>
        <v>19100</v>
      </c>
      <c r="G15" s="199">
        <f t="shared" si="2"/>
        <v>69500</v>
      </c>
      <c r="H15" s="199">
        <f t="shared" si="2"/>
        <v>11000</v>
      </c>
      <c r="I15" s="201">
        <f>SUM(I8:I14)</f>
        <v>99600</v>
      </c>
      <c r="K15" s="8"/>
    </row>
    <row r="16" spans="1:15" ht="15.75" thickBot="1">
      <c r="A16" s="7"/>
      <c r="B16" s="19"/>
      <c r="K16" s="8"/>
    </row>
    <row r="17" spans="1:13" ht="18" customHeight="1" thickBot="1">
      <c r="A17" s="30"/>
      <c r="B17" s="31"/>
      <c r="C17" s="907" t="s">
        <v>22</v>
      </c>
      <c r="D17" s="907"/>
      <c r="E17" s="907"/>
      <c r="F17" s="907"/>
      <c r="G17" s="217"/>
      <c r="H17" s="908" t="s">
        <v>28</v>
      </c>
      <c r="I17" s="907"/>
      <c r="J17" s="909"/>
      <c r="K17" s="938" t="s">
        <v>39</v>
      </c>
      <c r="L17" s="939"/>
      <c r="M17" s="6"/>
    </row>
    <row r="18" spans="1:13" ht="15.75" thickBot="1">
      <c r="A18" s="5"/>
      <c r="B18" s="214"/>
      <c r="C18" s="215" t="s">
        <v>15</v>
      </c>
      <c r="D18" s="215" t="s">
        <v>14</v>
      </c>
      <c r="E18" s="215" t="s">
        <v>13</v>
      </c>
      <c r="F18" s="215" t="s">
        <v>12</v>
      </c>
      <c r="G18" s="6"/>
      <c r="I18" s="17" t="s">
        <v>37</v>
      </c>
      <c r="J18" s="18" t="s">
        <v>38</v>
      </c>
      <c r="K18" s="32" t="s">
        <v>40</v>
      </c>
      <c r="L18" s="33" t="s">
        <v>38</v>
      </c>
      <c r="M18" s="8"/>
    </row>
    <row r="19" spans="1:13" ht="15.75" thickBot="1">
      <c r="A19" s="7"/>
      <c r="B19" s="3" t="s">
        <v>17</v>
      </c>
      <c r="C19" s="255" t="s">
        <v>19</v>
      </c>
      <c r="D19" s="256"/>
      <c r="E19" s="363">
        <f>+F19/$I$15</f>
        <v>2.7996586345381526E-2</v>
      </c>
      <c r="F19" s="402">
        <f>'W1 Forecast'!F19</f>
        <v>2788.46</v>
      </c>
      <c r="G19" s="8"/>
      <c r="I19" s="17"/>
      <c r="J19" s="18"/>
      <c r="K19" s="32"/>
      <c r="L19" s="33"/>
      <c r="M19" s="8"/>
    </row>
    <row r="20" spans="1:13">
      <c r="A20" s="7"/>
      <c r="B20" s="1" t="s">
        <v>3</v>
      </c>
      <c r="C20" s="20">
        <f t="shared" ref="C20:C25" si="3">+F20/D20</f>
        <v>284.57142857142856</v>
      </c>
      <c r="D20" s="21">
        <f>'W1 Forecast'!D20</f>
        <v>14</v>
      </c>
      <c r="E20" s="22">
        <f>'W1 Forecast'!E20</f>
        <v>0.04</v>
      </c>
      <c r="F20" s="23">
        <f t="shared" ref="F20:F27" si="4">+E20*$I$15</f>
        <v>3984</v>
      </c>
      <c r="G20" s="8"/>
      <c r="H20" s="216" t="s">
        <v>29</v>
      </c>
      <c r="I20" s="24">
        <f t="shared" ref="I20:I25" si="5">+$I$26*J20</f>
        <v>64879.439999999995</v>
      </c>
      <c r="J20" s="726">
        <f>'W1 Forecast'!J20</f>
        <v>0.65139999999999998</v>
      </c>
      <c r="K20" s="24">
        <f t="shared" ref="K20:K25" si="6">+I20*L20</f>
        <v>20761.4208</v>
      </c>
      <c r="L20" s="472">
        <f>'W1 Forecast'!L20</f>
        <v>0.32</v>
      </c>
      <c r="M20" s="8"/>
    </row>
    <row r="21" spans="1:13">
      <c r="A21" s="7"/>
      <c r="B21" s="1" t="s">
        <v>168</v>
      </c>
      <c r="C21" s="20">
        <f t="shared" si="3"/>
        <v>76.834285714285713</v>
      </c>
      <c r="D21" s="21">
        <f>'W1 Forecast'!D21</f>
        <v>17.5</v>
      </c>
      <c r="E21" s="22">
        <f>'W1 Forecast'!E21</f>
        <v>1.35E-2</v>
      </c>
      <c r="F21" s="23">
        <f t="shared" si="4"/>
        <v>1344.6</v>
      </c>
      <c r="G21" s="8"/>
      <c r="H21" s="216" t="s">
        <v>24</v>
      </c>
      <c r="I21" s="26">
        <f t="shared" si="5"/>
        <v>10288.68</v>
      </c>
      <c r="J21" s="727">
        <f>'W1 Forecast'!J21</f>
        <v>0.1033</v>
      </c>
      <c r="K21" s="26">
        <f t="shared" si="6"/>
        <v>1749.0756000000001</v>
      </c>
      <c r="L21" s="27">
        <f>'W1 Forecast'!L21</f>
        <v>0.17</v>
      </c>
      <c r="M21" s="8"/>
    </row>
    <row r="22" spans="1:13">
      <c r="A22" s="7"/>
      <c r="B22" s="1" t="s">
        <v>169</v>
      </c>
      <c r="C22" s="20">
        <f t="shared" si="3"/>
        <v>70.750344827586218</v>
      </c>
      <c r="D22" s="21">
        <f>'W1 Forecast'!D22</f>
        <v>14.5</v>
      </c>
      <c r="E22" s="22">
        <f>'W1 Forecast'!E22</f>
        <v>1.03E-2</v>
      </c>
      <c r="F22" s="23">
        <f t="shared" si="4"/>
        <v>1025.8800000000001</v>
      </c>
      <c r="G22" s="8"/>
      <c r="H22" s="216" t="s">
        <v>25</v>
      </c>
      <c r="I22" s="26">
        <f t="shared" si="5"/>
        <v>4830.6000000000004</v>
      </c>
      <c r="J22" s="727">
        <f>'W1 Forecast'!J22</f>
        <v>4.8500000000000001E-2</v>
      </c>
      <c r="K22" s="26">
        <f t="shared" si="6"/>
        <v>917.81400000000008</v>
      </c>
      <c r="L22" s="27">
        <f>'W1 Forecast'!L22</f>
        <v>0.19</v>
      </c>
      <c r="M22" s="8"/>
    </row>
    <row r="23" spans="1:13" s="2" customFormat="1">
      <c r="A23" s="9"/>
      <c r="B23" s="1" t="s">
        <v>4</v>
      </c>
      <c r="C23" s="20">
        <f t="shared" si="3"/>
        <v>33.199999999999996</v>
      </c>
      <c r="D23" s="21">
        <f>'W1 Forecast'!D23</f>
        <v>13.5</v>
      </c>
      <c r="E23" s="22">
        <f>'W1 Forecast'!E23</f>
        <v>4.4999999999999997E-3</v>
      </c>
      <c r="F23" s="23">
        <f t="shared" si="4"/>
        <v>448.2</v>
      </c>
      <c r="G23" s="11"/>
      <c r="H23" s="216" t="s">
        <v>26</v>
      </c>
      <c r="I23" s="26">
        <f t="shared" si="5"/>
        <v>16772.64</v>
      </c>
      <c r="J23" s="727">
        <f>'W1 Forecast'!J23</f>
        <v>0.16839999999999999</v>
      </c>
      <c r="K23" s="26">
        <f t="shared" si="6"/>
        <v>3857.7071999999998</v>
      </c>
      <c r="L23" s="27">
        <f>'W1 Forecast'!L23</f>
        <v>0.23</v>
      </c>
      <c r="M23" s="11"/>
    </row>
    <row r="24" spans="1:13">
      <c r="A24" s="7"/>
      <c r="B24" s="1" t="s">
        <v>170</v>
      </c>
      <c r="C24" s="20">
        <f t="shared" si="3"/>
        <v>33.200000000000003</v>
      </c>
      <c r="D24" s="21">
        <f>'W1 Forecast'!D24</f>
        <v>15</v>
      </c>
      <c r="E24" s="22">
        <f>'W1 Forecast'!E24</f>
        <v>5.0000000000000001E-3</v>
      </c>
      <c r="F24" s="23">
        <f t="shared" si="4"/>
        <v>498</v>
      </c>
      <c r="G24" s="8"/>
      <c r="H24" s="216" t="s">
        <v>27</v>
      </c>
      <c r="I24" s="26">
        <f t="shared" si="5"/>
        <v>2828.6400000000003</v>
      </c>
      <c r="J24" s="727">
        <f>'W1 Forecast'!J24</f>
        <v>2.8400000000000002E-2</v>
      </c>
      <c r="K24" s="26">
        <f t="shared" si="6"/>
        <v>339.43680000000001</v>
      </c>
      <c r="L24" s="27">
        <f>'W1 Forecast'!L24</f>
        <v>0.12</v>
      </c>
      <c r="M24" s="8"/>
    </row>
    <row r="25" spans="1:13" ht="15.75" thickBot="1">
      <c r="A25" s="7"/>
      <c r="B25" s="1" t="s">
        <v>5</v>
      </c>
      <c r="C25" s="20">
        <f t="shared" si="3"/>
        <v>124.5</v>
      </c>
      <c r="D25" s="21">
        <f>'W1 Forecast'!D25</f>
        <v>12</v>
      </c>
      <c r="E25" s="22">
        <f>'W1 Forecast'!E25</f>
        <v>1.4999999999999999E-2</v>
      </c>
      <c r="F25" s="23">
        <f t="shared" si="4"/>
        <v>1494</v>
      </c>
      <c r="G25" s="8"/>
      <c r="H25" s="725" t="s">
        <v>241</v>
      </c>
      <c r="I25" s="469">
        <f t="shared" si="5"/>
        <v>0</v>
      </c>
      <c r="J25" s="728">
        <f>'W1 Forecast'!J25</f>
        <v>0</v>
      </c>
      <c r="K25" s="469">
        <f t="shared" si="6"/>
        <v>0</v>
      </c>
      <c r="L25" s="470">
        <f>'W1 Forecast'!L25</f>
        <v>0</v>
      </c>
      <c r="M25" s="8"/>
    </row>
    <row r="26" spans="1:13" ht="15.75" thickBot="1">
      <c r="A26" s="7"/>
      <c r="B26" s="1" t="s">
        <v>162</v>
      </c>
      <c r="C26" s="20"/>
      <c r="D26" s="21">
        <f>'W1 Forecast'!D26</f>
        <v>0</v>
      </c>
      <c r="E26" s="22">
        <f>'W1 Forecast'!E26</f>
        <v>0</v>
      </c>
      <c r="F26" s="23">
        <f t="shared" si="4"/>
        <v>0</v>
      </c>
      <c r="G26" s="8"/>
      <c r="H26" s="216" t="s">
        <v>0</v>
      </c>
      <c r="I26" s="467">
        <f>+I15</f>
        <v>99600</v>
      </c>
      <c r="J26" s="468">
        <f>+I26/I26</f>
        <v>1</v>
      </c>
      <c r="K26" s="469">
        <f>SUM(K20:K25)</f>
        <v>27625.454399999999</v>
      </c>
      <c r="L26" s="470">
        <f>+K26/I26</f>
        <v>0.277364</v>
      </c>
      <c r="M26" s="8"/>
    </row>
    <row r="27" spans="1:13" ht="15.75" thickBot="1">
      <c r="A27" s="7"/>
      <c r="B27" s="1"/>
      <c r="C27" s="257"/>
      <c r="D27" s="258">
        <f>'W1 Forecast'!D27</f>
        <v>0</v>
      </c>
      <c r="E27" s="259"/>
      <c r="F27" s="260">
        <f t="shared" si="4"/>
        <v>0</v>
      </c>
      <c r="G27" s="8"/>
      <c r="M27" s="8"/>
    </row>
    <row r="28" spans="1:13" ht="15.75" thickBot="1">
      <c r="A28" s="7"/>
      <c r="B28" s="10" t="s">
        <v>6</v>
      </c>
      <c r="C28" s="261">
        <f>SUM(C20:C27)</f>
        <v>623.05605911330053</v>
      </c>
      <c r="D28" s="262">
        <f>+F28/C28</f>
        <v>18.590847212824627</v>
      </c>
      <c r="E28" s="263">
        <f>SUM(E19:E27)</f>
        <v>0.11629658634538154</v>
      </c>
      <c r="F28" s="264">
        <f>SUM(F19:F27)</f>
        <v>11583.14</v>
      </c>
      <c r="G28" s="8"/>
      <c r="H28" s="216" t="s">
        <v>30</v>
      </c>
      <c r="I28" s="24">
        <f t="shared" ref="I28:I35" si="7">+$I$20*J28</f>
        <v>1492.2271199999998</v>
      </c>
      <c r="J28" s="25">
        <f>'W1 Forecast'!J28</f>
        <v>2.3E-2</v>
      </c>
      <c r="M28" s="8"/>
    </row>
    <row r="29" spans="1:13">
      <c r="A29" s="7"/>
      <c r="B29" s="3" t="s">
        <v>16</v>
      </c>
      <c r="C29" s="255" t="s">
        <v>19</v>
      </c>
      <c r="D29" s="256"/>
      <c r="E29" s="319">
        <f>F29/I15</f>
        <v>2.3246787148594378E-2</v>
      </c>
      <c r="F29" s="402">
        <f>'W1 Forecast'!F29</f>
        <v>2315.38</v>
      </c>
      <c r="G29" s="8"/>
      <c r="H29" s="216" t="s">
        <v>31</v>
      </c>
      <c r="I29" s="26">
        <f t="shared" si="7"/>
        <v>12975.887999999999</v>
      </c>
      <c r="J29" s="27">
        <f>'W1 Forecast'!J29</f>
        <v>0.2</v>
      </c>
      <c r="M29" s="8"/>
    </row>
    <row r="30" spans="1:13">
      <c r="A30" s="7"/>
      <c r="B30" s="1" t="s">
        <v>7</v>
      </c>
      <c r="C30" s="20">
        <f t="shared" ref="C30:C36" si="8">+F30/D30</f>
        <v>507.36677115987465</v>
      </c>
      <c r="D30" s="21">
        <f>'W1 Forecast'!D30</f>
        <v>6.38</v>
      </c>
      <c r="E30" s="22">
        <f>'W1 Forecast'!E30</f>
        <v>3.2500000000000001E-2</v>
      </c>
      <c r="F30" s="23">
        <f t="shared" ref="F30:F36" si="9">+E30*$I$15</f>
        <v>3237</v>
      </c>
      <c r="G30" s="8"/>
      <c r="H30" s="216" t="s">
        <v>32</v>
      </c>
      <c r="I30" s="26">
        <f t="shared" si="7"/>
        <v>97.319159999999997</v>
      </c>
      <c r="J30" s="27">
        <f>'W1 Forecast'!J30</f>
        <v>1.5E-3</v>
      </c>
      <c r="M30" s="8"/>
    </row>
    <row r="31" spans="1:13" s="2" customFormat="1">
      <c r="A31" s="9"/>
      <c r="B31" s="1" t="s">
        <v>8</v>
      </c>
      <c r="C31" s="20">
        <f t="shared" si="8"/>
        <v>83</v>
      </c>
      <c r="D31" s="21">
        <f>'W1 Forecast'!D31</f>
        <v>12</v>
      </c>
      <c r="E31" s="22">
        <f>'W1 Forecast'!E31</f>
        <v>0.01</v>
      </c>
      <c r="F31" s="23">
        <f t="shared" si="9"/>
        <v>996</v>
      </c>
      <c r="G31" s="11"/>
      <c r="H31" s="216" t="s">
        <v>33</v>
      </c>
      <c r="I31" s="26">
        <f t="shared" si="7"/>
        <v>1102.95048</v>
      </c>
      <c r="J31" s="27">
        <f>'W1 Forecast'!J31</f>
        <v>1.7000000000000001E-2</v>
      </c>
      <c r="K31"/>
      <c r="L31"/>
      <c r="M31" s="11"/>
    </row>
    <row r="32" spans="1:13" s="2" customFormat="1">
      <c r="A32" s="9"/>
      <c r="B32" s="1" t="s">
        <v>171</v>
      </c>
      <c r="C32" s="20">
        <f t="shared" si="8"/>
        <v>78.753488372093031</v>
      </c>
      <c r="D32" s="21">
        <f>'W1 Forecast'!D32</f>
        <v>21.5</v>
      </c>
      <c r="E32" s="22">
        <f>'W1 Forecast'!E32</f>
        <v>1.7000000000000001E-2</v>
      </c>
      <c r="F32" s="23">
        <f t="shared" si="9"/>
        <v>1693.2</v>
      </c>
      <c r="G32" s="11"/>
      <c r="H32" s="216" t="s">
        <v>34</v>
      </c>
      <c r="I32" s="26">
        <f t="shared" si="7"/>
        <v>1946.3831999999998</v>
      </c>
      <c r="J32" s="27">
        <f>'W1 Forecast'!J32</f>
        <v>0.03</v>
      </c>
      <c r="M32" s="11"/>
    </row>
    <row r="33" spans="1:13" s="2" customFormat="1">
      <c r="A33" s="9"/>
      <c r="B33" s="1" t="s">
        <v>162</v>
      </c>
      <c r="C33" s="20">
        <f t="shared" si="8"/>
        <v>0</v>
      </c>
      <c r="D33" s="21">
        <f>'W1 Forecast'!D33</f>
        <v>18</v>
      </c>
      <c r="E33" s="22"/>
      <c r="F33" s="23">
        <f t="shared" si="9"/>
        <v>0</v>
      </c>
      <c r="G33" s="11"/>
      <c r="H33" s="216"/>
      <c r="I33" s="26"/>
      <c r="J33" s="27"/>
      <c r="M33" s="11"/>
    </row>
    <row r="34" spans="1:13">
      <c r="A34" s="7"/>
      <c r="B34" s="1" t="s">
        <v>9</v>
      </c>
      <c r="C34" s="20">
        <f t="shared" si="8"/>
        <v>107.56800000000001</v>
      </c>
      <c r="D34" s="21">
        <f>'W1 Forecast'!D34</f>
        <v>10</v>
      </c>
      <c r="E34" s="22">
        <f>'W1 Forecast'!E34</f>
        <v>1.0800000000000001E-2</v>
      </c>
      <c r="F34" s="23">
        <f t="shared" si="9"/>
        <v>1075.68</v>
      </c>
      <c r="G34" s="8"/>
      <c r="H34" s="216" t="s">
        <v>35</v>
      </c>
      <c r="I34" s="26">
        <f t="shared" si="7"/>
        <v>1492.2271199999998</v>
      </c>
      <c r="J34" s="27">
        <f>'W1 Forecast'!J34</f>
        <v>2.3E-2</v>
      </c>
      <c r="K34" s="2"/>
      <c r="L34" s="2"/>
      <c r="M34" s="8"/>
    </row>
    <row r="35" spans="1:13" ht="15.75" thickBot="1">
      <c r="A35" s="7"/>
      <c r="B35" s="1" t="s">
        <v>286</v>
      </c>
      <c r="C35" s="20">
        <f t="shared" si="8"/>
        <v>62.25</v>
      </c>
      <c r="D35" s="21">
        <f>'W1 Forecast'!D35</f>
        <v>12</v>
      </c>
      <c r="E35" s="22">
        <f>'W1 Forecast'!E35</f>
        <v>7.4999999999999997E-3</v>
      </c>
      <c r="F35" s="23">
        <f t="shared" si="9"/>
        <v>747</v>
      </c>
      <c r="G35" s="8"/>
      <c r="H35" s="216" t="s">
        <v>36</v>
      </c>
      <c r="I35" s="28">
        <f t="shared" si="7"/>
        <v>2595.1776</v>
      </c>
      <c r="J35" s="29">
        <f>'W1 Forecast'!J35</f>
        <v>0.04</v>
      </c>
      <c r="M35" s="8"/>
    </row>
    <row r="36" spans="1:13" ht="15.75" thickBot="1">
      <c r="A36" s="7"/>
      <c r="B36" s="1" t="s">
        <v>287</v>
      </c>
      <c r="C36" s="20">
        <f t="shared" si="8"/>
        <v>33.200000000000003</v>
      </c>
      <c r="D36" s="21">
        <f>'W1 Forecast'!D36</f>
        <v>12</v>
      </c>
      <c r="E36" s="22">
        <f>'W1 Forecast'!E36</f>
        <v>4.0000000000000001E-3</v>
      </c>
      <c r="F36" s="23">
        <f t="shared" si="9"/>
        <v>398.40000000000003</v>
      </c>
      <c r="G36" s="8"/>
      <c r="H36" s="216" t="s">
        <v>0</v>
      </c>
      <c r="I36" s="671">
        <f>SUM(I28:I35)</f>
        <v>21702.172679999996</v>
      </c>
      <c r="J36" s="670">
        <f>SUM(J28:J35)</f>
        <v>0.33449999999999996</v>
      </c>
      <c r="M36" s="8"/>
    </row>
    <row r="37" spans="1:13" ht="15.75" thickBot="1">
      <c r="A37" s="7"/>
      <c r="B37" s="1" t="s">
        <v>288</v>
      </c>
      <c r="C37" s="393"/>
      <c r="D37" s="258">
        <f>'W1 Forecast'!D37</f>
        <v>13</v>
      </c>
      <c r="E37" s="259">
        <f>'W1 Forecast'!E37</f>
        <v>3.0000000000000001E-3</v>
      </c>
      <c r="F37" s="394"/>
      <c r="G37" s="8"/>
      <c r="M37" s="8"/>
    </row>
    <row r="38" spans="1:13" ht="15.75" thickBot="1">
      <c r="A38" s="7"/>
      <c r="B38" s="10" t="s">
        <v>11</v>
      </c>
      <c r="C38" s="252">
        <f>SUM(C30:C37)</f>
        <v>872.13825953196761</v>
      </c>
      <c r="D38" s="139">
        <f>+F38/C38</f>
        <v>11.996561193880863</v>
      </c>
      <c r="E38" s="253">
        <f>SUM(E29:E37)</f>
        <v>0.10804678714859439</v>
      </c>
      <c r="F38" s="254">
        <f>SUM(F29:F37)</f>
        <v>10462.66</v>
      </c>
      <c r="G38" s="8"/>
      <c r="M38" s="8"/>
    </row>
    <row r="39" spans="1:13" ht="15.75" thickBot="1">
      <c r="A39" s="7"/>
      <c r="B39" s="10" t="s">
        <v>18</v>
      </c>
      <c r="C39" s="138">
        <f>+C38+C28</f>
        <v>1495.1943186452681</v>
      </c>
      <c r="D39" s="244">
        <f>+F39/C39</f>
        <v>14.744438047340067</v>
      </c>
      <c r="E39" s="250">
        <f>+E38+E28</f>
        <v>0.22434337349397593</v>
      </c>
      <c r="F39" s="251">
        <f>+F38+F28</f>
        <v>22045.8</v>
      </c>
      <c r="G39" s="8"/>
      <c r="M39" s="8"/>
    </row>
    <row r="40" spans="1:13">
      <c r="A40" s="7"/>
      <c r="G40" s="8"/>
      <c r="H40" s="205" t="s">
        <v>163</v>
      </c>
      <c r="I40" s="206">
        <f>+I15*J40</f>
        <v>1035.8399999999999</v>
      </c>
      <c r="J40" s="207">
        <f>'W1 Forecast'!J40</f>
        <v>1.04E-2</v>
      </c>
      <c r="M40" s="8"/>
    </row>
    <row r="41" spans="1:13">
      <c r="A41" s="7"/>
      <c r="E41" s="265"/>
      <c r="F41" s="267"/>
      <c r="G41" s="8"/>
      <c r="H41" s="208" t="s">
        <v>164</v>
      </c>
      <c r="I41" s="209">
        <f>+I15*J41</f>
        <v>747</v>
      </c>
      <c r="J41" s="210">
        <f>'W1 Forecast'!J41</f>
        <v>7.4999999999999997E-3</v>
      </c>
      <c r="M41" s="8"/>
    </row>
    <row r="42" spans="1:13">
      <c r="A42" s="7"/>
      <c r="G42" s="8"/>
      <c r="H42" s="208" t="s">
        <v>165</v>
      </c>
      <c r="I42" s="209">
        <f>+I15*J42</f>
        <v>1384.4399999999998</v>
      </c>
      <c r="J42" s="210">
        <f>'W1 Forecast'!J42</f>
        <v>1.3899999999999999E-2</v>
      </c>
      <c r="M42" s="8"/>
    </row>
    <row r="43" spans="1:13">
      <c r="A43" s="7"/>
      <c r="B43" s="10"/>
      <c r="E43" s="265"/>
      <c r="F43" s="266"/>
      <c r="G43" s="8"/>
      <c r="H43" s="208" t="s">
        <v>166</v>
      </c>
      <c r="I43" s="209">
        <f>+I15*J43</f>
        <v>1095.5999999999999</v>
      </c>
      <c r="J43" s="210">
        <f>'W1 Forecast'!J43</f>
        <v>1.0999999999999999E-2</v>
      </c>
      <c r="M43" s="8"/>
    </row>
    <row r="44" spans="1:13" ht="15.75" thickBot="1">
      <c r="A44" s="12"/>
      <c r="B44" s="13"/>
      <c r="C44" s="14"/>
      <c r="D44" s="14"/>
      <c r="E44" s="14"/>
      <c r="F44" s="14"/>
      <c r="G44" s="15"/>
      <c r="H44" s="211" t="s">
        <v>167</v>
      </c>
      <c r="I44" s="212">
        <f>+I15*J44</f>
        <v>249</v>
      </c>
      <c r="J44" s="213">
        <f>'W1 Forecast'!J44</f>
        <v>2.5000000000000001E-3</v>
      </c>
      <c r="K44" s="12"/>
      <c r="L44" s="14"/>
      <c r="M44" s="15"/>
    </row>
    <row r="45" spans="1:13" ht="15.75" thickBot="1">
      <c r="E45" s="265"/>
      <c r="F45" s="266"/>
    </row>
    <row r="46" spans="1:13" ht="15.75">
      <c r="B46" s="431" t="s">
        <v>201</v>
      </c>
      <c r="C46" s="434" t="s">
        <v>13</v>
      </c>
      <c r="D46" s="429" t="s">
        <v>12</v>
      </c>
      <c r="E46" s="446"/>
      <c r="F46" s="447"/>
      <c r="G46" s="446"/>
      <c r="H46" s="428"/>
      <c r="I46" s="428"/>
    </row>
    <row r="47" spans="1:13">
      <c r="B47" s="653" t="s">
        <v>244</v>
      </c>
      <c r="C47" s="488">
        <f>'W1 Forecast'!C47</f>
        <v>5.0000000000000001E-4</v>
      </c>
      <c r="D47" s="442">
        <f>$I$15*C47</f>
        <v>49.800000000000004</v>
      </c>
      <c r="E47" s="448"/>
      <c r="F47" s="449"/>
      <c r="G47" s="450"/>
      <c r="H47" s="428"/>
      <c r="I47" s="428"/>
    </row>
    <row r="48" spans="1:13">
      <c r="B48" s="653" t="s">
        <v>245</v>
      </c>
      <c r="C48" s="488">
        <f>'W1 Forecast'!C48</f>
        <v>0</v>
      </c>
      <c r="D48" s="442">
        <f t="shared" ref="D48:D63" si="10">$I$15*C48</f>
        <v>0</v>
      </c>
      <c r="E48" s="448"/>
      <c r="F48" s="449"/>
      <c r="G48" s="450"/>
      <c r="H48" s="428"/>
      <c r="I48" s="428"/>
    </row>
    <row r="49" spans="1:18">
      <c r="B49" s="653" t="s">
        <v>246</v>
      </c>
      <c r="C49" s="488">
        <f>'W1 Forecast'!C49</f>
        <v>3.7000000000000002E-3</v>
      </c>
      <c r="D49" s="442">
        <f t="shared" si="10"/>
        <v>368.52000000000004</v>
      </c>
      <c r="E49" s="448"/>
      <c r="F49" s="449"/>
      <c r="G49" s="450"/>
      <c r="H49" s="428"/>
      <c r="I49" s="428"/>
    </row>
    <row r="50" spans="1:18">
      <c r="A50" s="3"/>
      <c r="B50" s="653" t="s">
        <v>247</v>
      </c>
      <c r="C50" s="488">
        <f>'W1 Forecast'!C50</f>
        <v>3.5999999999999999E-3</v>
      </c>
      <c r="D50" s="442">
        <f t="shared" si="10"/>
        <v>358.56</v>
      </c>
      <c r="E50" s="448"/>
      <c r="F50" s="449"/>
      <c r="G50" s="450"/>
      <c r="H50" s="428"/>
      <c r="I50" s="428"/>
    </row>
    <row r="51" spans="1:18">
      <c r="A51" s="3"/>
      <c r="B51" s="653" t="s">
        <v>248</v>
      </c>
      <c r="C51" s="488">
        <f>'W1 Forecast'!C51</f>
        <v>4.4000000000000003E-3</v>
      </c>
      <c r="D51" s="442">
        <f t="shared" si="10"/>
        <v>438.24</v>
      </c>
      <c r="E51" s="448"/>
      <c r="F51" s="449"/>
      <c r="G51" s="450"/>
      <c r="H51" s="428"/>
      <c r="I51" s="428"/>
    </row>
    <row r="52" spans="1:18" s="417" customFormat="1">
      <c r="A52" s="10"/>
      <c r="B52" s="653" t="s">
        <v>249</v>
      </c>
      <c r="C52" s="488">
        <f>'W1 Forecast'!C52</f>
        <v>3.5000000000000001E-3</v>
      </c>
      <c r="D52" s="442">
        <f t="shared" si="10"/>
        <v>348.6</v>
      </c>
      <c r="E52" s="448"/>
      <c r="F52" s="449"/>
      <c r="G52" s="450"/>
      <c r="H52"/>
      <c r="I52"/>
      <c r="J52" s="420"/>
      <c r="K52" s="420"/>
      <c r="M52" s="420"/>
      <c r="N52" s="420"/>
      <c r="O52" s="420"/>
      <c r="P52" s="420"/>
      <c r="Q52" s="420"/>
      <c r="R52" s="420"/>
    </row>
    <row r="53" spans="1:18" s="417" customFormat="1">
      <c r="A53" s="10"/>
      <c r="B53" s="653" t="s">
        <v>250</v>
      </c>
      <c r="C53" s="488">
        <f>'W1 Forecast'!C53</f>
        <v>5.0000000000000001E-4</v>
      </c>
      <c r="D53" s="442">
        <f t="shared" si="10"/>
        <v>49.800000000000004</v>
      </c>
      <c r="E53" s="448"/>
      <c r="F53" s="449"/>
      <c r="G53" s="450"/>
      <c r="H53"/>
      <c r="I53"/>
      <c r="J53" s="418"/>
      <c r="K53" s="418"/>
      <c r="M53" s="418"/>
      <c r="N53" s="418"/>
      <c r="O53" s="418"/>
      <c r="P53" s="418"/>
      <c r="Q53" s="418"/>
      <c r="R53" s="418"/>
    </row>
    <row r="54" spans="1:18" s="417" customFormat="1">
      <c r="A54" s="10"/>
      <c r="B54" s="653" t="s">
        <v>251</v>
      </c>
      <c r="C54" s="488">
        <f>'W1 Forecast'!C54</f>
        <v>5.9999999999999995E-4</v>
      </c>
      <c r="D54" s="442">
        <f t="shared" si="10"/>
        <v>59.76</v>
      </c>
      <c r="E54" s="448"/>
      <c r="F54" s="449"/>
      <c r="G54" s="450"/>
      <c r="H54"/>
      <c r="I54"/>
      <c r="J54" s="418"/>
      <c r="K54" s="418"/>
      <c r="M54" s="418"/>
      <c r="N54" s="418"/>
      <c r="O54" s="418"/>
      <c r="P54" s="418"/>
      <c r="Q54" s="418"/>
      <c r="R54" s="418"/>
    </row>
    <row r="55" spans="1:18" s="417" customFormat="1">
      <c r="A55" s="10"/>
      <c r="B55" s="653" t="s">
        <v>252</v>
      </c>
      <c r="C55" s="488">
        <f>'W1 Forecast'!C55</f>
        <v>5.0000000000000001E-4</v>
      </c>
      <c r="D55" s="442">
        <f t="shared" si="10"/>
        <v>49.800000000000004</v>
      </c>
      <c r="E55" s="448"/>
      <c r="F55" s="449"/>
      <c r="G55" s="450"/>
      <c r="H55"/>
      <c r="I55"/>
      <c r="J55" s="418"/>
      <c r="K55" s="418"/>
      <c r="M55" s="418"/>
      <c r="N55" s="418"/>
      <c r="O55" s="418"/>
      <c r="P55" s="418"/>
      <c r="Q55" s="418"/>
      <c r="R55" s="418"/>
    </row>
    <row r="56" spans="1:18" s="417" customFormat="1">
      <c r="A56" s="10"/>
      <c r="B56" s="653" t="s">
        <v>205</v>
      </c>
      <c r="C56" s="488">
        <f>'W1 Forecast'!C56</f>
        <v>8.9999999999999998E-4</v>
      </c>
      <c r="D56" s="442">
        <f t="shared" si="10"/>
        <v>89.64</v>
      </c>
      <c r="E56" s="448"/>
      <c r="F56" s="449"/>
      <c r="G56" s="450"/>
      <c r="H56"/>
      <c r="I56"/>
      <c r="J56" s="418"/>
      <c r="K56" s="418"/>
      <c r="M56" s="418"/>
      <c r="N56" s="418"/>
      <c r="O56" s="418"/>
      <c r="P56" s="418"/>
      <c r="Q56" s="418"/>
      <c r="R56" s="418"/>
    </row>
    <row r="57" spans="1:18" s="417" customFormat="1">
      <c r="A57" s="10"/>
      <c r="B57" s="653" t="s">
        <v>253</v>
      </c>
      <c r="C57" s="488">
        <f>'W1 Forecast'!C57</f>
        <v>1E-3</v>
      </c>
      <c r="D57" s="442">
        <f t="shared" si="10"/>
        <v>99.600000000000009</v>
      </c>
      <c r="E57" s="448"/>
      <c r="F57" s="449"/>
      <c r="G57" s="450"/>
      <c r="H57"/>
      <c r="I57"/>
      <c r="J57" s="418"/>
      <c r="K57" s="418"/>
      <c r="M57" s="418"/>
      <c r="N57" s="418"/>
      <c r="O57" s="418"/>
      <c r="P57" s="418"/>
      <c r="Q57" s="418"/>
      <c r="R57" s="418"/>
    </row>
    <row r="58" spans="1:18" s="417" customFormat="1">
      <c r="A58" s="10"/>
      <c r="B58" s="653" t="s">
        <v>254</v>
      </c>
      <c r="C58" s="488">
        <f>'W1 Forecast'!C58</f>
        <v>5.0000000000000001E-4</v>
      </c>
      <c r="D58" s="442">
        <f t="shared" si="10"/>
        <v>49.800000000000004</v>
      </c>
      <c r="E58" s="448"/>
      <c r="F58" s="449"/>
      <c r="G58" s="450"/>
      <c r="H58"/>
      <c r="I58"/>
      <c r="J58" s="418"/>
      <c r="K58" s="418"/>
      <c r="M58" s="418"/>
      <c r="N58" s="418"/>
      <c r="O58" s="418"/>
      <c r="P58" s="418"/>
      <c r="Q58" s="418"/>
      <c r="R58" s="418"/>
    </row>
    <row r="59" spans="1:18" s="417" customFormat="1">
      <c r="A59" s="10"/>
      <c r="B59" s="653" t="s">
        <v>255</v>
      </c>
      <c r="C59" s="488">
        <f>'W1 Forecast'!C59</f>
        <v>5.0000000000000001E-4</v>
      </c>
      <c r="D59" s="442">
        <f t="shared" si="10"/>
        <v>49.800000000000004</v>
      </c>
      <c r="E59" s="448"/>
      <c r="F59" s="449"/>
      <c r="G59" s="450"/>
      <c r="H59"/>
      <c r="I59"/>
      <c r="J59" s="418"/>
      <c r="K59" s="418"/>
      <c r="M59" s="418"/>
      <c r="N59" s="418"/>
      <c r="O59" s="418"/>
      <c r="P59" s="418"/>
      <c r="Q59" s="418"/>
      <c r="R59" s="418"/>
    </row>
    <row r="60" spans="1:18" s="417" customFormat="1">
      <c r="A60" s="10"/>
      <c r="B60" s="653" t="s">
        <v>256</v>
      </c>
      <c r="C60" s="488">
        <f>'W1 Forecast'!C60</f>
        <v>1E-3</v>
      </c>
      <c r="D60" s="442">
        <f t="shared" si="10"/>
        <v>99.600000000000009</v>
      </c>
      <c r="E60" s="448"/>
      <c r="F60" s="449"/>
      <c r="G60" s="450"/>
      <c r="H60"/>
      <c r="I60"/>
      <c r="J60" s="418"/>
      <c r="K60" s="418"/>
      <c r="M60" s="418"/>
      <c r="N60" s="418"/>
      <c r="O60" s="418"/>
      <c r="P60" s="418"/>
      <c r="Q60" s="418"/>
      <c r="R60" s="418"/>
    </row>
    <row r="61" spans="1:18" s="417" customFormat="1">
      <c r="A61" s="10"/>
      <c r="B61" s="653" t="s">
        <v>257</v>
      </c>
      <c r="C61" s="488">
        <f>'W1 Forecast'!C61</f>
        <v>1.7399999999999999E-2</v>
      </c>
      <c r="D61" s="442">
        <f t="shared" si="10"/>
        <v>1733.04</v>
      </c>
      <c r="E61" s="448"/>
      <c r="F61" s="449"/>
      <c r="G61" s="450"/>
      <c r="H61"/>
      <c r="I61"/>
      <c r="J61" s="418"/>
      <c r="K61" s="418"/>
      <c r="M61" s="418"/>
      <c r="N61" s="418"/>
      <c r="O61" s="418"/>
      <c r="P61" s="418"/>
      <c r="Q61" s="418"/>
      <c r="R61" s="418"/>
    </row>
    <row r="62" spans="1:18" s="417" customFormat="1">
      <c r="A62" s="10"/>
      <c r="B62" s="653" t="s">
        <v>258</v>
      </c>
      <c r="C62" s="488">
        <f>'W1 Forecast'!C62</f>
        <v>3.0000000000000001E-3</v>
      </c>
      <c r="D62" s="442">
        <f t="shared" si="10"/>
        <v>298.8</v>
      </c>
      <c r="E62" s="448"/>
      <c r="F62" s="449"/>
      <c r="G62" s="450"/>
      <c r="H62"/>
      <c r="I62"/>
      <c r="J62" s="418"/>
      <c r="K62" s="418"/>
      <c r="M62" s="418"/>
      <c r="N62" s="418"/>
      <c r="O62" s="418"/>
      <c r="P62" s="418"/>
      <c r="Q62" s="418"/>
      <c r="R62" s="418"/>
    </row>
    <row r="63" spans="1:18" ht="15.75" thickBot="1">
      <c r="A63" s="419"/>
      <c r="B63" s="653" t="s">
        <v>259</v>
      </c>
      <c r="C63" s="504">
        <f>'W1 Forecast'!C63</f>
        <v>5.0000000000000001E-4</v>
      </c>
      <c r="D63" s="464">
        <f t="shared" si="10"/>
        <v>49.800000000000004</v>
      </c>
      <c r="E63" s="448"/>
      <c r="F63" s="449"/>
      <c r="G63" s="450"/>
      <c r="J63" s="420"/>
      <c r="K63" s="420"/>
      <c r="M63" s="420"/>
      <c r="N63" s="420"/>
      <c r="O63" s="420"/>
      <c r="P63" s="420"/>
      <c r="Q63" s="420"/>
      <c r="R63" s="420"/>
    </row>
    <row r="64" spans="1:18" ht="15.75" thickBot="1">
      <c r="A64" s="1"/>
      <c r="B64" s="430" t="s">
        <v>0</v>
      </c>
      <c r="C64" s="462">
        <f>D64/I15</f>
        <v>4.2099999999999999E-2</v>
      </c>
      <c r="D64" s="441">
        <f>SUM(D47:D63)</f>
        <v>4193.16</v>
      </c>
      <c r="E64" s="451"/>
      <c r="F64" s="452"/>
      <c r="G64" s="453"/>
      <c r="H64" s="428"/>
      <c r="I64" s="428"/>
      <c r="J64" s="421"/>
      <c r="K64" s="421"/>
      <c r="M64" s="421"/>
      <c r="N64" s="421"/>
      <c r="O64" s="421"/>
      <c r="P64" s="421"/>
      <c r="Q64" s="421"/>
      <c r="R64" s="422"/>
    </row>
    <row r="65" spans="1:18" ht="15.75" thickBot="1">
      <c r="A65" s="1"/>
      <c r="B65"/>
      <c r="C65" s="433"/>
      <c r="D65" s="8"/>
      <c r="E65" s="454"/>
      <c r="F65" s="449"/>
      <c r="J65" s="421"/>
      <c r="K65" s="421"/>
      <c r="M65" s="421"/>
      <c r="N65" s="421"/>
      <c r="O65" s="421"/>
      <c r="P65" s="421"/>
      <c r="Q65" s="421"/>
      <c r="R65" s="422"/>
    </row>
    <row r="66" spans="1:18">
      <c r="A66" s="1"/>
      <c r="B66" s="19" t="s">
        <v>210</v>
      </c>
      <c r="C66" s="473">
        <f>'W1 Forecast'!C66</f>
        <v>1.04E-2</v>
      </c>
      <c r="D66" s="466">
        <f>$I$15*C66</f>
        <v>1035.8399999999999</v>
      </c>
      <c r="E66" s="454"/>
      <c r="F66" s="449"/>
      <c r="G66" s="450"/>
      <c r="J66" s="421"/>
      <c r="K66" s="421"/>
      <c r="M66" s="421"/>
      <c r="N66" s="421"/>
      <c r="O66" s="421"/>
      <c r="P66" s="421"/>
      <c r="Q66" s="421"/>
      <c r="R66" s="422"/>
    </row>
    <row r="67" spans="1:18">
      <c r="A67" s="1"/>
      <c r="B67" s="19" t="s">
        <v>211</v>
      </c>
      <c r="C67" s="436">
        <f>'W1 Forecast'!C67</f>
        <v>7.4999999999999997E-3</v>
      </c>
      <c r="D67" s="442">
        <f t="shared" ref="D67:D69" si="11">$I$15*C67</f>
        <v>747</v>
      </c>
      <c r="E67" s="454"/>
      <c r="F67" s="449"/>
      <c r="G67" s="450"/>
      <c r="J67" s="421"/>
      <c r="K67" s="421"/>
      <c r="M67" s="421"/>
      <c r="N67" s="421"/>
      <c r="O67" s="421"/>
      <c r="P67" s="421"/>
      <c r="Q67" s="421"/>
      <c r="R67" s="422"/>
    </row>
    <row r="68" spans="1:18">
      <c r="A68" s="1"/>
      <c r="B68" s="19" t="s">
        <v>212</v>
      </c>
      <c r="C68" s="436">
        <f>'W1 Forecast'!C68</f>
        <v>1.3899999999999999E-2</v>
      </c>
      <c r="D68" s="442">
        <f t="shared" si="11"/>
        <v>1384.4399999999998</v>
      </c>
      <c r="E68" s="454"/>
      <c r="F68" s="449"/>
      <c r="G68" s="450"/>
      <c r="J68" s="421"/>
      <c r="K68" s="421"/>
      <c r="M68" s="421"/>
      <c r="N68" s="421"/>
      <c r="O68" s="421"/>
      <c r="P68" s="421"/>
      <c r="Q68" s="421"/>
      <c r="R68" s="422"/>
    </row>
    <row r="69" spans="1:18" ht="15.75" thickBot="1">
      <c r="A69" s="1"/>
      <c r="B69" s="19" t="s">
        <v>213</v>
      </c>
      <c r="C69" s="503">
        <f>'W1 Forecast'!C69</f>
        <v>0.04</v>
      </c>
      <c r="D69" s="464">
        <f t="shared" si="11"/>
        <v>3984</v>
      </c>
      <c r="E69" s="454"/>
      <c r="F69" s="449"/>
      <c r="G69" s="450"/>
      <c r="J69" s="421"/>
      <c r="K69" s="421"/>
      <c r="M69" s="421"/>
      <c r="N69" s="421"/>
      <c r="O69" s="421"/>
      <c r="P69" s="421"/>
      <c r="Q69" s="421"/>
      <c r="R69" s="422"/>
    </row>
    <row r="70" spans="1:18" ht="15.75" thickBot="1">
      <c r="A70" s="1"/>
      <c r="B70" s="430" t="s">
        <v>214</v>
      </c>
      <c r="C70" s="462">
        <f>D70/I15</f>
        <v>7.1800000000000003E-2</v>
      </c>
      <c r="D70" s="502">
        <f>SUM(D66:D69)</f>
        <v>7151.28</v>
      </c>
      <c r="E70" s="451"/>
      <c r="F70" s="452"/>
      <c r="G70" s="453"/>
      <c r="H70" s="428"/>
      <c r="I70" s="428"/>
      <c r="J70" s="421"/>
      <c r="K70" s="421"/>
      <c r="M70" s="421"/>
      <c r="N70" s="421"/>
      <c r="O70" s="421"/>
      <c r="P70" s="421"/>
      <c r="Q70" s="421"/>
      <c r="R70" s="422"/>
    </row>
    <row r="71" spans="1:18" ht="15.75" thickBot="1">
      <c r="A71" s="1"/>
      <c r="B71"/>
      <c r="C71" s="433"/>
      <c r="D71" s="8"/>
      <c r="F71" s="449"/>
      <c r="J71" s="421"/>
      <c r="K71" s="421"/>
      <c r="M71" s="421"/>
      <c r="N71" s="421"/>
      <c r="O71" s="421"/>
      <c r="P71" s="421"/>
      <c r="Q71" s="421"/>
      <c r="R71" s="422"/>
    </row>
    <row r="72" spans="1:18" ht="15.75">
      <c r="A72" s="419"/>
      <c r="B72" s="431" t="s">
        <v>215</v>
      </c>
      <c r="C72" s="434" t="s">
        <v>13</v>
      </c>
      <c r="D72" s="429" t="s">
        <v>12</v>
      </c>
      <c r="E72" s="446"/>
      <c r="F72" s="447"/>
      <c r="G72" s="446"/>
      <c r="H72" s="428"/>
      <c r="I72" s="428"/>
      <c r="J72" s="422"/>
      <c r="K72" s="422"/>
      <c r="M72" s="422"/>
      <c r="N72" s="422"/>
      <c r="O72" s="422"/>
      <c r="P72" s="422"/>
      <c r="Q72" s="422"/>
      <c r="R72" s="422"/>
    </row>
    <row r="73" spans="1:18">
      <c r="A73" s="1"/>
      <c r="B73" s="19" t="s">
        <v>216</v>
      </c>
      <c r="C73" s="444">
        <f>D73/I15</f>
        <v>1.9550426706827311E-2</v>
      </c>
      <c r="D73" s="432">
        <f>'W1 Forecast'!D73</f>
        <v>1947.2225000000001</v>
      </c>
      <c r="E73" s="454"/>
      <c r="F73" s="463">
        <f>'W1 Forecast'!F73</f>
        <v>7788.89</v>
      </c>
      <c r="G73" s="463">
        <f>'W1 Forecast'!G73</f>
        <v>1947.2225000000001</v>
      </c>
      <c r="J73" s="421"/>
      <c r="K73" s="421"/>
      <c r="M73" s="421"/>
      <c r="N73" s="421"/>
      <c r="O73" s="421"/>
      <c r="P73" s="421"/>
      <c r="Q73" s="421"/>
      <c r="R73" s="422"/>
    </row>
    <row r="74" spans="1:18">
      <c r="A74" s="1"/>
      <c r="B74" s="19" t="s">
        <v>17</v>
      </c>
      <c r="C74" s="436">
        <f>D74/I15</f>
        <v>2.7996586345381526E-2</v>
      </c>
      <c r="D74" s="442">
        <f>'W1 Forecast'!D74</f>
        <v>2788.46</v>
      </c>
      <c r="E74" s="454"/>
      <c r="F74" s="449"/>
      <c r="G74" s="450"/>
      <c r="J74" s="421"/>
      <c r="K74" s="421"/>
      <c r="M74" s="421"/>
      <c r="N74" s="421"/>
      <c r="O74" s="421"/>
      <c r="P74" s="421"/>
      <c r="Q74" s="421"/>
      <c r="R74" s="422"/>
    </row>
    <row r="75" spans="1:18">
      <c r="A75" s="1"/>
      <c r="B75" s="19" t="s">
        <v>217</v>
      </c>
      <c r="C75" s="436">
        <f>'W1 Forecast'!C75</f>
        <v>8.8300000000000003E-2</v>
      </c>
      <c r="D75" s="442">
        <f>I15*C75</f>
        <v>8794.68</v>
      </c>
      <c r="E75" s="454"/>
      <c r="F75" s="449"/>
      <c r="G75" s="450"/>
      <c r="M75" s="421"/>
      <c r="N75" s="421"/>
      <c r="O75" s="421"/>
      <c r="P75" s="421"/>
      <c r="Q75" s="421"/>
      <c r="R75" s="422"/>
    </row>
    <row r="76" spans="1:18">
      <c r="A76" s="1"/>
      <c r="B76" s="19" t="s">
        <v>16</v>
      </c>
      <c r="C76" s="436">
        <f>D76/I15</f>
        <v>2.3246787148594378E-2</v>
      </c>
      <c r="D76" s="442">
        <f>'W1 Forecast'!D76</f>
        <v>2315.38</v>
      </c>
      <c r="E76" s="454"/>
      <c r="F76" s="449"/>
      <c r="M76" s="421"/>
      <c r="N76" s="421"/>
      <c r="O76" s="421"/>
      <c r="P76" s="421"/>
      <c r="Q76" s="421"/>
      <c r="R76" s="422"/>
    </row>
    <row r="77" spans="1:18">
      <c r="A77" s="1"/>
      <c r="B77" s="19" t="s">
        <v>218</v>
      </c>
      <c r="C77" s="436">
        <f>'W1 Forecast'!C77</f>
        <v>8.4800000000000014E-2</v>
      </c>
      <c r="D77" s="442">
        <f>I15*C77</f>
        <v>8446.0800000000017</v>
      </c>
      <c r="E77" s="454"/>
      <c r="F77" s="459"/>
      <c r="G77" s="450"/>
      <c r="M77" s="421"/>
      <c r="N77" s="421"/>
      <c r="O77" s="421"/>
      <c r="P77" s="421"/>
      <c r="Q77" s="421"/>
      <c r="R77" s="422"/>
    </row>
    <row r="78" spans="1:18">
      <c r="A78" s="1"/>
      <c r="B78" s="19" t="s">
        <v>219</v>
      </c>
      <c r="C78" s="444">
        <f>D78/I15</f>
        <v>0</v>
      </c>
      <c r="D78" s="445">
        <f>'W1 Forecast'!D78</f>
        <v>0</v>
      </c>
      <c r="E78" s="454"/>
      <c r="F78" s="463">
        <f>'W1 Forecast'!F78</f>
        <v>0</v>
      </c>
      <c r="G78" s="463">
        <f>'W1 Forecast'!G78</f>
        <v>0</v>
      </c>
      <c r="M78" s="421"/>
      <c r="N78" s="421"/>
      <c r="O78" s="421"/>
      <c r="P78" s="421"/>
      <c r="Q78" s="421"/>
      <c r="R78" s="422"/>
    </row>
    <row r="79" spans="1:18" ht="15.75" thickBot="1">
      <c r="A79" s="419"/>
      <c r="B79" s="19" t="s">
        <v>220</v>
      </c>
      <c r="C79" s="460">
        <f>D79/I15</f>
        <v>4.536869804216867E-2</v>
      </c>
      <c r="D79" s="461">
        <f>'W1 Forecast'!D79</f>
        <v>4518.7223249999997</v>
      </c>
      <c r="E79" s="455" t="s">
        <v>220</v>
      </c>
      <c r="F79" s="449">
        <f>'W1 Forecast'!F79</f>
        <v>0.2525</v>
      </c>
      <c r="G79" s="426">
        <f>'W1 Forecast'!G79</f>
        <v>0</v>
      </c>
      <c r="H79" s="426">
        <f>'W1 Forecast'!H79</f>
        <v>0</v>
      </c>
      <c r="M79" s="422"/>
      <c r="N79" s="422"/>
      <c r="O79" s="422"/>
      <c r="P79" s="422"/>
      <c r="Q79" s="422"/>
      <c r="R79" s="422"/>
    </row>
    <row r="80" spans="1:18" ht="15.75" thickBot="1">
      <c r="A80" s="419"/>
      <c r="B80" s="430" t="s">
        <v>18</v>
      </c>
      <c r="C80" s="462">
        <f>D80/I15</f>
        <v>0.2892624982429719</v>
      </c>
      <c r="D80" s="441">
        <f>SUM(D73:D79)</f>
        <v>28810.544825000001</v>
      </c>
      <c r="E80" s="453"/>
      <c r="F80" s="452"/>
      <c r="G80" s="453"/>
      <c r="H80" s="428"/>
      <c r="I80" s="428"/>
      <c r="M80" s="422"/>
      <c r="N80" s="422"/>
      <c r="O80" s="422"/>
      <c r="P80" s="422"/>
      <c r="Q80" s="422"/>
      <c r="R80" s="422"/>
    </row>
    <row r="81" spans="1:11" ht="15.75" thickBot="1">
      <c r="A81" s="3"/>
      <c r="B81"/>
      <c r="C81" s="433"/>
      <c r="D81" s="8"/>
      <c r="F81" s="449"/>
    </row>
    <row r="82" spans="1:11">
      <c r="A82" s="3"/>
      <c r="B82" s="19" t="s">
        <v>221</v>
      </c>
      <c r="C82" s="437">
        <f>'W1 Forecast'!C82</f>
        <v>8.4099999999999994E-2</v>
      </c>
      <c r="D82" s="443">
        <f>I15*C82</f>
        <v>8376.3599999999988</v>
      </c>
      <c r="E82" s="456"/>
      <c r="F82" s="449"/>
      <c r="G82" s="450"/>
    </row>
    <row r="83" spans="1:11">
      <c r="A83" s="3"/>
      <c r="B83" s="19" t="s">
        <v>166</v>
      </c>
      <c r="C83" s="436">
        <f>'W1 Forecast'!C83</f>
        <v>1.0999999999999999E-2</v>
      </c>
      <c r="D83" s="442">
        <f>I15*C83</f>
        <v>1095.5999999999999</v>
      </c>
      <c r="E83" s="456"/>
      <c r="F83" s="449"/>
      <c r="G83" s="450"/>
    </row>
    <row r="84" spans="1:11" ht="15.75" thickBot="1">
      <c r="A84" s="3"/>
      <c r="B84" s="19" t="s">
        <v>222</v>
      </c>
      <c r="C84" s="460">
        <f>D84/I15</f>
        <v>9.0988955823293166E-2</v>
      </c>
      <c r="D84" s="440">
        <f>G85</f>
        <v>9062.5</v>
      </c>
      <c r="E84" s="456"/>
      <c r="F84" s="449" t="s">
        <v>222</v>
      </c>
      <c r="G84" s="426">
        <f>'W1 Forecast'!G84</f>
        <v>36250</v>
      </c>
      <c r="H84" t="s">
        <v>223</v>
      </c>
      <c r="I84" t="s">
        <v>223</v>
      </c>
      <c r="K84">
        <f>'W1 Forecast'!K84</f>
        <v>0</v>
      </c>
    </row>
    <row r="85" spans="1:11" ht="15.75" thickBot="1">
      <c r="A85" s="3"/>
      <c r="B85" s="430" t="s">
        <v>224</v>
      </c>
      <c r="C85" s="462">
        <f>D85/I15</f>
        <v>0.18608895582329316</v>
      </c>
      <c r="D85" s="441">
        <f>SUM(D82:D84)</f>
        <v>18534.46</v>
      </c>
      <c r="E85" s="451"/>
      <c r="F85" s="452"/>
      <c r="G85" s="427">
        <f>'W1 Forecast'!G85</f>
        <v>9062.5</v>
      </c>
      <c r="H85" s="428"/>
      <c r="I85" s="428"/>
    </row>
    <row r="86" spans="1:11">
      <c r="A86" s="3"/>
      <c r="B86"/>
      <c r="C86" s="433"/>
      <c r="D86" s="8"/>
      <c r="F86" s="449"/>
    </row>
    <row r="87" spans="1:11">
      <c r="A87" s="3"/>
      <c r="B87"/>
      <c r="C87" s="438" t="s">
        <v>13</v>
      </c>
      <c r="D87" s="439" t="s">
        <v>12</v>
      </c>
      <c r="E87" s="18"/>
      <c r="F87" s="457"/>
      <c r="G87" s="18"/>
    </row>
    <row r="88" spans="1:11" ht="15.75" thickBot="1">
      <c r="A88" s="3"/>
      <c r="B88" s="430" t="s">
        <v>225</v>
      </c>
      <c r="C88" s="435">
        <f>D88/I15</f>
        <v>0.13338454593373492</v>
      </c>
      <c r="D88" s="465">
        <f>I15-G88</f>
        <v>13285.100774999999</v>
      </c>
      <c r="E88" s="453"/>
      <c r="F88" s="458" t="s">
        <v>193</v>
      </c>
      <c r="G88" s="453">
        <f>D85+D80+D70+D64+K26</f>
        <v>86314.899225000001</v>
      </c>
      <c r="H88" s="428"/>
      <c r="I88" s="428"/>
    </row>
  </sheetData>
  <mergeCells count="7">
    <mergeCell ref="K17:L17"/>
    <mergeCell ref="F2:G2"/>
    <mergeCell ref="C5:I5"/>
    <mergeCell ref="C17:F17"/>
    <mergeCell ref="H17:J17"/>
    <mergeCell ref="F6:I6"/>
    <mergeCell ref="C6:E6"/>
  </mergeCells>
  <phoneticPr fontId="0" type="noConversion"/>
  <pageMargins left="0.25" right="0.14000000000000001" top="0.16" bottom="0.15" header="0.14000000000000001" footer="0.1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7</vt:i4>
      </vt:variant>
    </vt:vector>
  </HeadingPairs>
  <TitlesOfParts>
    <vt:vector size="25" baseType="lpstr">
      <vt:lpstr>Sales History &amp; Forecast</vt:lpstr>
      <vt:lpstr>Entry Sheet </vt:lpstr>
      <vt:lpstr>P&amp;L</vt:lpstr>
      <vt:lpstr>W1 Forecast</vt:lpstr>
      <vt:lpstr>W1 Cost &amp; Sales</vt:lpstr>
      <vt:lpstr>W2 Forecast</vt:lpstr>
      <vt:lpstr>W2 Cost &amp; Sales</vt:lpstr>
      <vt:lpstr>W2 P&amp;L</vt:lpstr>
      <vt:lpstr>W3 Forecast</vt:lpstr>
      <vt:lpstr>W3 Cost &amp; Sales </vt:lpstr>
      <vt:lpstr>W3 P&amp;L</vt:lpstr>
      <vt:lpstr>W4 Forecast </vt:lpstr>
      <vt:lpstr>W4 Cost &amp; Sales</vt:lpstr>
      <vt:lpstr>W4 P&amp;L</vt:lpstr>
      <vt:lpstr>Period Summary</vt:lpstr>
      <vt:lpstr>Period 8 Cash</vt:lpstr>
      <vt:lpstr>Sales Worksheet</vt:lpstr>
      <vt:lpstr>P&amp;L Summary</vt:lpstr>
      <vt:lpstr>'Period 8 Cash'!Print_Area</vt:lpstr>
      <vt:lpstr>'Period Summary'!Print_Area</vt:lpstr>
      <vt:lpstr>'Sales Worksheet'!Print_Area</vt:lpstr>
      <vt:lpstr>'W1 Cost &amp; Sales'!Print_Area</vt:lpstr>
      <vt:lpstr>'W2 Cost &amp; Sales'!Print_Area</vt:lpstr>
      <vt:lpstr>'W3 Cost &amp; Sales '!Print_Area</vt:lpstr>
      <vt:lpstr>'W4 Cost &amp; Sales'!Print_Area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Smith</dc:creator>
  <cp:lastModifiedBy>Bobby Venetianer</cp:lastModifiedBy>
  <cp:lastPrinted>2015-12-14T14:44:59Z</cp:lastPrinted>
  <dcterms:created xsi:type="dcterms:W3CDTF">2009-10-30T17:06:47Z</dcterms:created>
  <dcterms:modified xsi:type="dcterms:W3CDTF">2021-02-10T13:51:18Z</dcterms:modified>
</cp:coreProperties>
</file>